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jholley\Desktop\"/>
    </mc:Choice>
  </mc:AlternateContent>
  <bookViews>
    <workbookView xWindow="-15" yWindow="105" windowWidth="15405" windowHeight="7635" tabRatio="318"/>
  </bookViews>
  <sheets>
    <sheet name="Volume Under Contract" sheetId="1" r:id="rId1"/>
    <sheet name="Sheet2" sheetId="1824" r:id="rId2"/>
    <sheet name="Sheet3" sheetId="15180" r:id="rId3"/>
  </sheets>
  <calcPr calcId="152511"/>
</workbook>
</file>

<file path=xl/calcChain.xml><?xml version="1.0" encoding="utf-8"?>
<calcChain xmlns="http://schemas.openxmlformats.org/spreadsheetml/2006/main">
  <c r="L122" i="1" l="1"/>
  <c r="K122" i="1"/>
  <c r="J122" i="1"/>
  <c r="I122" i="1"/>
  <c r="L156" i="1"/>
  <c r="K156" i="1"/>
  <c r="J156" i="1"/>
  <c r="I156" i="1"/>
  <c r="A74" i="1"/>
  <c r="L120" i="1"/>
  <c r="K120" i="1"/>
  <c r="J120" i="1"/>
  <c r="I120" i="1"/>
  <c r="L121" i="1"/>
  <c r="K121" i="1"/>
  <c r="J121" i="1"/>
  <c r="I121" i="1"/>
  <c r="L113" i="1"/>
  <c r="K113" i="1"/>
  <c r="J113" i="1"/>
  <c r="I113" i="1"/>
  <c r="L145" i="1"/>
  <c r="K145" i="1"/>
  <c r="J145" i="1"/>
  <c r="I145" i="1"/>
  <c r="A19" i="1"/>
  <c r="A77" i="1"/>
  <c r="A60" i="1"/>
  <c r="A40" i="1"/>
  <c r="A36" i="1"/>
  <c r="A12" i="1"/>
  <c r="A8" i="1"/>
  <c r="A7" i="1"/>
  <c r="A6" i="1"/>
  <c r="A88" i="1"/>
  <c r="A50" i="1" l="1"/>
  <c r="H103" i="1" l="1"/>
  <c r="C103" i="1"/>
  <c r="L103" i="1"/>
  <c r="K103" i="1"/>
  <c r="J103" i="1"/>
  <c r="I103" i="1"/>
  <c r="L98" i="1"/>
  <c r="K98" i="1"/>
  <c r="J98" i="1"/>
  <c r="I98" i="1"/>
  <c r="L91" i="1"/>
  <c r="K91" i="1"/>
  <c r="J91" i="1"/>
  <c r="I91" i="1"/>
  <c r="H91" i="1"/>
  <c r="C91" i="1"/>
  <c r="J83" i="1"/>
  <c r="K83" i="1"/>
  <c r="L83" i="1"/>
  <c r="I83" i="1"/>
  <c r="I106" i="1" s="1"/>
  <c r="H83" i="1"/>
  <c r="C83" i="1"/>
  <c r="L106" i="1" l="1"/>
  <c r="K106" i="1"/>
  <c r="J106" i="1"/>
  <c r="L155" i="1" a="1"/>
  <c r="L155" i="1" s="1"/>
  <c r="K155" i="1" a="1"/>
  <c r="K155" i="1" s="1"/>
  <c r="J155" i="1" a="1"/>
  <c r="J155" i="1" s="1"/>
  <c r="I155" i="1" a="1"/>
  <c r="I155" i="1" s="1"/>
  <c r="A86" i="1"/>
  <c r="L109" i="1" l="1"/>
  <c r="K109" i="1"/>
  <c r="J109" i="1"/>
  <c r="I109" i="1"/>
  <c r="A81" i="1"/>
  <c r="A61" i="1"/>
  <c r="A43" i="1"/>
  <c r="A13" i="1"/>
  <c r="L108" i="1" l="1"/>
  <c r="K108" i="1"/>
  <c r="J108" i="1"/>
  <c r="I108" i="1"/>
  <c r="L117" i="1"/>
  <c r="K117" i="1"/>
  <c r="J117" i="1"/>
  <c r="I117" i="1"/>
  <c r="L153" i="1" l="1"/>
  <c r="K153" i="1"/>
  <c r="J153" i="1"/>
  <c r="I153" i="1"/>
  <c r="L152" i="1"/>
  <c r="K152" i="1"/>
  <c r="J152" i="1"/>
  <c r="I152" i="1"/>
  <c r="A76" i="1"/>
  <c r="A75" i="1"/>
  <c r="A10" i="1"/>
  <c r="A49" i="1" l="1"/>
  <c r="A48" i="1"/>
  <c r="A47" i="1"/>
  <c r="A46" i="1"/>
  <c r="A45" i="1"/>
  <c r="A44" i="1"/>
  <c r="A24" i="1"/>
  <c r="A11" i="1"/>
  <c r="A53" i="1" l="1"/>
  <c r="A87" i="1"/>
  <c r="A9" i="1" l="1"/>
  <c r="L137" i="1" l="1"/>
  <c r="K137" i="1"/>
  <c r="J137" i="1"/>
  <c r="I137" i="1"/>
  <c r="A42" i="1"/>
  <c r="A5" i="1" l="1"/>
  <c r="L148" i="1" l="1"/>
  <c r="K148" i="1"/>
  <c r="J148" i="1"/>
  <c r="I148" i="1"/>
  <c r="L149" i="1"/>
  <c r="K149" i="1"/>
  <c r="J149" i="1"/>
  <c r="I149" i="1"/>
  <c r="A66" i="1" l="1"/>
  <c r="A65" i="1"/>
  <c r="L146" i="1" l="1"/>
  <c r="K146" i="1"/>
  <c r="J146" i="1"/>
  <c r="I146" i="1"/>
  <c r="L144" i="1"/>
  <c r="K144" i="1"/>
  <c r="J144" i="1"/>
  <c r="I144" i="1"/>
  <c r="L111" i="1"/>
  <c r="K111" i="1"/>
  <c r="J111" i="1"/>
  <c r="I111" i="1"/>
  <c r="L110" i="1" a="1"/>
  <c r="L110" i="1" s="1"/>
  <c r="K110" i="1" a="1"/>
  <c r="K110" i="1" s="1"/>
  <c r="J110" i="1" a="1"/>
  <c r="J110" i="1" s="1"/>
  <c r="I110" i="1" a="1"/>
  <c r="I110" i="1" s="1"/>
  <c r="A68" i="1"/>
  <c r="A58" i="1"/>
  <c r="A18" i="1"/>
  <c r="L134" i="1" l="1"/>
  <c r="K134" i="1"/>
  <c r="J134" i="1"/>
  <c r="I134" i="1"/>
  <c r="A26" i="1" l="1"/>
  <c r="A14" i="1" l="1"/>
  <c r="A79" i="1" l="1"/>
  <c r="L140" i="1"/>
  <c r="K140" i="1"/>
  <c r="J140" i="1"/>
  <c r="I140" i="1"/>
  <c r="L123" i="1"/>
  <c r="K123" i="1"/>
  <c r="J123" i="1"/>
  <c r="I123" i="1"/>
  <c r="A27" i="1"/>
  <c r="L112" i="1"/>
  <c r="K112" i="1"/>
  <c r="J112" i="1"/>
  <c r="I112" i="1"/>
  <c r="A20" i="1"/>
  <c r="L154" i="1" l="1"/>
  <c r="K154" i="1"/>
  <c r="J154" i="1"/>
  <c r="I154" i="1"/>
  <c r="A78" i="1"/>
  <c r="A73" i="1"/>
  <c r="H98" i="1" l="1"/>
  <c r="H106" i="1" s="1"/>
  <c r="C98" i="1"/>
  <c r="C106" i="1" s="1"/>
  <c r="A80" i="1" l="1"/>
  <c r="A64" i="1"/>
  <c r="A54" i="1" l="1"/>
  <c r="A28" i="1"/>
  <c r="A31" i="1" l="1"/>
  <c r="I125" i="1" l="1" a="1"/>
  <c r="I125" i="1" s="1"/>
  <c r="J125" i="1" a="1"/>
  <c r="J125" i="1" s="1"/>
  <c r="K125" i="1" a="1"/>
  <c r="K125" i="1" s="1"/>
  <c r="L125" i="1" a="1"/>
  <c r="L125" i="1" s="1"/>
  <c r="I126" i="1"/>
  <c r="J126" i="1"/>
  <c r="K126" i="1"/>
  <c r="L126" i="1"/>
  <c r="I127" i="1"/>
  <c r="J127" i="1"/>
  <c r="K127" i="1"/>
  <c r="L127" i="1"/>
  <c r="I128" i="1" a="1"/>
  <c r="I128" i="1" s="1"/>
  <c r="J128" i="1" a="1"/>
  <c r="J128" i="1" s="1"/>
  <c r="K128" i="1" a="1"/>
  <c r="K128" i="1" s="1"/>
  <c r="L128" i="1" a="1"/>
  <c r="L128" i="1" s="1"/>
  <c r="I129" i="1" a="1"/>
  <c r="I129" i="1" s="1"/>
  <c r="J129" i="1" a="1"/>
  <c r="J129" i="1" s="1"/>
  <c r="K129" i="1" a="1"/>
  <c r="K129" i="1" s="1"/>
  <c r="L129" i="1" a="1"/>
  <c r="L129" i="1" s="1"/>
  <c r="I130" i="1"/>
  <c r="J130" i="1"/>
  <c r="K130" i="1"/>
  <c r="L130" i="1"/>
  <c r="I131" i="1"/>
  <c r="J131" i="1"/>
  <c r="K131" i="1"/>
  <c r="L131" i="1"/>
  <c r="I132" i="1"/>
  <c r="J132" i="1"/>
  <c r="K132" i="1"/>
  <c r="L132" i="1"/>
  <c r="I133" i="1" a="1"/>
  <c r="I133" i="1" s="1"/>
  <c r="J133" i="1" a="1"/>
  <c r="J133" i="1" s="1"/>
  <c r="K133" i="1" a="1"/>
  <c r="K133" i="1" s="1"/>
  <c r="L133" i="1" a="1"/>
  <c r="L133" i="1" s="1"/>
  <c r="I141" i="1"/>
  <c r="J141" i="1"/>
  <c r="K141" i="1"/>
  <c r="L141" i="1"/>
  <c r="I142" i="1" a="1"/>
  <c r="I142" i="1" s="1"/>
  <c r="J142" i="1" a="1"/>
  <c r="J142" i="1" s="1"/>
  <c r="K142" i="1" a="1"/>
  <c r="K142" i="1" s="1"/>
  <c r="L142" i="1" a="1"/>
  <c r="L142" i="1" s="1"/>
  <c r="I143" i="1" a="1"/>
  <c r="I143" i="1" s="1"/>
  <c r="J143" i="1" a="1"/>
  <c r="J143" i="1" s="1"/>
  <c r="K143" i="1" a="1"/>
  <c r="K143" i="1" s="1"/>
  <c r="L143" i="1" a="1"/>
  <c r="L143" i="1" s="1"/>
  <c r="I147" i="1"/>
  <c r="J147" i="1"/>
  <c r="K147" i="1"/>
  <c r="L147" i="1"/>
  <c r="I150" i="1"/>
  <c r="J150" i="1"/>
  <c r="K150" i="1"/>
  <c r="L150" i="1"/>
  <c r="I151" i="1" a="1"/>
  <c r="I151" i="1" s="1"/>
  <c r="J151" i="1" a="1"/>
  <c r="J151" i="1" s="1"/>
  <c r="K151" i="1" a="1"/>
  <c r="K151" i="1" s="1"/>
  <c r="L151" i="1" a="1"/>
  <c r="L151" i="1" s="1"/>
  <c r="A95" i="1"/>
  <c r="A69" i="1" l="1"/>
  <c r="A32" i="1" l="1"/>
  <c r="A39" i="1"/>
  <c r="A67" i="1" l="1"/>
  <c r="L116" i="1" l="1"/>
  <c r="K116" i="1"/>
  <c r="J116" i="1"/>
  <c r="I116" i="1"/>
  <c r="A23" i="1"/>
  <c r="A38" i="1" l="1"/>
  <c r="A37" i="1"/>
  <c r="A35" i="1" l="1"/>
  <c r="A29" i="1" l="1"/>
  <c r="L115" i="1" l="1"/>
  <c r="K115" i="1"/>
  <c r="J115" i="1"/>
  <c r="I115" i="1"/>
  <c r="A21" i="1"/>
  <c r="A96" i="1" l="1"/>
  <c r="A17" i="1" l="1"/>
  <c r="A89" i="1"/>
  <c r="L124" i="1" l="1" a="1"/>
  <c r="L124" i="1" s="1"/>
  <c r="K124" i="1" a="1"/>
  <c r="K124" i="1" s="1"/>
  <c r="J124" i="1" a="1"/>
  <c r="J124" i="1" s="1"/>
  <c r="I124" i="1" a="1"/>
  <c r="I124" i="1" s="1"/>
  <c r="L119" i="1" a="1"/>
  <c r="L119" i="1" s="1"/>
  <c r="K119" i="1" a="1"/>
  <c r="K119" i="1" s="1"/>
  <c r="J119" i="1" a="1"/>
  <c r="J119" i="1" s="1"/>
  <c r="I119" i="1" a="1"/>
  <c r="I119" i="1" s="1"/>
  <c r="A41" i="1" l="1"/>
  <c r="A71" i="1"/>
  <c r="A59" i="1"/>
  <c r="A57" i="1"/>
  <c r="A56" i="1"/>
  <c r="A55" i="1"/>
  <c r="A30" i="1" l="1"/>
  <c r="A34" i="1" l="1"/>
  <c r="A15" i="1"/>
  <c r="A4" i="1"/>
  <c r="A22" i="1"/>
  <c r="A16" i="1"/>
  <c r="A25" i="1"/>
  <c r="A63" i="1"/>
  <c r="A62" i="1"/>
  <c r="A3" i="1"/>
  <c r="K118" i="1" a="1"/>
  <c r="K118" i="1" s="1"/>
  <c r="L118" i="1"/>
  <c r="J118" i="1"/>
  <c r="I118" i="1"/>
  <c r="I159" i="1" s="1"/>
  <c r="K173" i="1"/>
  <c r="K172" i="1"/>
  <c r="K171" i="1"/>
  <c r="K164" i="1"/>
  <c r="K163" i="1"/>
  <c r="L175" i="1"/>
  <c r="K175" i="1" a="1"/>
  <c r="K175" i="1" s="1"/>
  <c r="J175" i="1" a="1"/>
  <c r="J175" i="1" s="1"/>
  <c r="I175" i="1" a="1"/>
  <c r="I175" i="1" s="1"/>
  <c r="L176" i="1"/>
  <c r="K176" i="1"/>
  <c r="J176" i="1"/>
  <c r="I176" i="1"/>
  <c r="L174" i="1" a="1"/>
  <c r="L174" i="1" s="1"/>
  <c r="K174" i="1" a="1"/>
  <c r="K174" i="1" s="1"/>
  <c r="J174" i="1" a="1"/>
  <c r="J174" i="1" s="1"/>
  <c r="I174" i="1" a="1"/>
  <c r="I174" i="1" s="1"/>
  <c r="L173" i="1" a="1"/>
  <c r="L173" i="1" s="1"/>
  <c r="J173" i="1" a="1"/>
  <c r="J173" i="1" s="1"/>
  <c r="I173" i="1" a="1"/>
  <c r="I173" i="1" s="1"/>
  <c r="L172" i="1" a="1"/>
  <c r="L172" i="1" s="1"/>
  <c r="J172" i="1"/>
  <c r="I172" i="1"/>
  <c r="L171" i="1" a="1"/>
  <c r="L171" i="1" s="1"/>
  <c r="J171" i="1" a="1"/>
  <c r="J171" i="1" s="1"/>
  <c r="I171" i="1" a="1"/>
  <c r="I171" i="1" s="1"/>
  <c r="L170" i="1" a="1"/>
  <c r="L170" i="1" s="1"/>
  <c r="K170" i="1" a="1"/>
  <c r="K170" i="1" s="1"/>
  <c r="J170" i="1" a="1"/>
  <c r="J170" i="1" s="1"/>
  <c r="I170" i="1" a="1"/>
  <c r="I170" i="1" s="1"/>
  <c r="L169" i="1" a="1"/>
  <c r="L169" i="1" s="1"/>
  <c r="K169" i="1" a="1"/>
  <c r="K169" i="1" s="1"/>
  <c r="J169" i="1" a="1"/>
  <c r="J169" i="1" s="1"/>
  <c r="I169" i="1" a="1"/>
  <c r="I169" i="1" s="1"/>
  <c r="L168" i="1" a="1"/>
  <c r="L168" i="1" s="1"/>
  <c r="K168" i="1" a="1"/>
  <c r="K168" i="1" s="1"/>
  <c r="J168" i="1" a="1"/>
  <c r="J168" i="1" s="1"/>
  <c r="I168" i="1" a="1"/>
  <c r="I168" i="1" s="1"/>
  <c r="L167" i="1" a="1"/>
  <c r="L167" i="1" s="1"/>
  <c r="K167" i="1" a="1"/>
  <c r="K167" i="1" s="1"/>
  <c r="J167" i="1" a="1"/>
  <c r="J167" i="1" s="1"/>
  <c r="I167" i="1" a="1"/>
  <c r="I167" i="1" s="1"/>
  <c r="L165" i="1" a="1"/>
  <c r="L165" i="1" s="1"/>
  <c r="K165" i="1" a="1"/>
  <c r="J165" i="1" a="1"/>
  <c r="J165" i="1" s="1"/>
  <c r="I165" i="1" a="1"/>
  <c r="I165" i="1" s="1"/>
  <c r="L164" i="1" a="1"/>
  <c r="L164" i="1" s="1"/>
  <c r="J164" i="1" a="1"/>
  <c r="J164" i="1" s="1"/>
  <c r="I164" i="1" a="1"/>
  <c r="I164" i="1" s="1"/>
  <c r="L163" i="1"/>
  <c r="J163" i="1"/>
  <c r="I163" i="1"/>
  <c r="A33" i="1"/>
  <c r="A70" i="1"/>
  <c r="A72" i="1"/>
  <c r="L180" i="1"/>
  <c r="I180" i="1"/>
  <c r="J159" i="1" l="1"/>
  <c r="J182" i="1" s="1"/>
  <c r="L159" i="1"/>
  <c r="L182" i="1" s="1"/>
  <c r="K159" i="1"/>
  <c r="I182" i="1"/>
  <c r="K180" i="1"/>
  <c r="K165" i="1"/>
  <c r="K178" i="1" s="1"/>
  <c r="J180" i="1"/>
  <c r="L178" i="1"/>
  <c r="J178" i="1"/>
  <c r="I178" i="1"/>
  <c r="K182" i="1" l="1"/>
</calcChain>
</file>

<file path=xl/sharedStrings.xml><?xml version="1.0" encoding="utf-8"?>
<sst xmlns="http://schemas.openxmlformats.org/spreadsheetml/2006/main" count="440" uniqueCount="275">
  <si>
    <t>Chugach National Forest</t>
  </si>
  <si>
    <t>Bid Date</t>
  </si>
  <si>
    <t>Porter Lumber</t>
  </si>
  <si>
    <t>Tongass National Forest</t>
  </si>
  <si>
    <t>Pacific Log &amp; Lumber Ltd</t>
  </si>
  <si>
    <t>Alcan Forest Products LLP</t>
  </si>
  <si>
    <t>Icy Straits Lumber &amp; Mill</t>
  </si>
  <si>
    <t>Licking Creek</t>
  </si>
  <si>
    <t>Yakutat</t>
  </si>
  <si>
    <t>Thorne Bay</t>
  </si>
  <si>
    <t>Hoonah</t>
  </si>
  <si>
    <t>Craig</t>
  </si>
  <si>
    <t>Ketchikan</t>
  </si>
  <si>
    <t>Juneau</t>
  </si>
  <si>
    <t>Petersburg</t>
  </si>
  <si>
    <t>Wrangell</t>
  </si>
  <si>
    <t>Seward</t>
  </si>
  <si>
    <t>Termination Date</t>
  </si>
  <si>
    <t xml:space="preserve">H &amp; L Salvage, Inc </t>
  </si>
  <si>
    <t>James Harrison</t>
  </si>
  <si>
    <t>Permit</t>
  </si>
  <si>
    <t>Viking Lumber Company</t>
  </si>
  <si>
    <t>Lindenberg</t>
  </si>
  <si>
    <t>Commercial Sawlog</t>
  </si>
  <si>
    <t>Buckdance Madder Reoffer</t>
  </si>
  <si>
    <t>H &amp; L Salvage, Inc</t>
  </si>
  <si>
    <t>Volume Cut (MBF)</t>
  </si>
  <si>
    <t>Current Qty Est (MBF)</t>
  </si>
  <si>
    <t>Contract ID</t>
  </si>
  <si>
    <t>Skipping Cow</t>
  </si>
  <si>
    <t>William Kaufman</t>
  </si>
  <si>
    <t>Remaining Vol (MBF)</t>
  </si>
  <si>
    <t>Glacier</t>
  </si>
  <si>
    <t>Cordova</t>
  </si>
  <si>
    <t>Sitka</t>
  </si>
  <si>
    <t>Admirality</t>
  </si>
  <si>
    <t>Unit</t>
  </si>
  <si>
    <t>Lookup Table</t>
  </si>
  <si>
    <t>Sale Name (Not in Default)</t>
  </si>
  <si>
    <t>Ranger District</t>
  </si>
  <si>
    <t>Purchaser</t>
  </si>
  <si>
    <t>Remaining Value ($)</t>
  </si>
  <si>
    <t>Custom Cut LLC</t>
  </si>
  <si>
    <t>Hook Reoffer</t>
  </si>
  <si>
    <t>Oxbox</t>
  </si>
  <si>
    <t>Commercial Fuelwood</t>
  </si>
  <si>
    <t>Hecla Greens Creek Mining</t>
  </si>
  <si>
    <t>DOT/PF State of Alaska</t>
  </si>
  <si>
    <t>Juneau Access Settlement</t>
  </si>
  <si>
    <t>002562</t>
  </si>
  <si>
    <t>Henry Drechnowicz</t>
  </si>
  <si>
    <t>St. Nick Forest Products</t>
  </si>
  <si>
    <t>Slake</t>
  </si>
  <si>
    <t>Microsale #165</t>
  </si>
  <si>
    <t>Frenchie Stewardship</t>
  </si>
  <si>
    <t>Heceta Stewardship</t>
  </si>
  <si>
    <t>Jerod Cook</t>
  </si>
  <si>
    <t>Rhino</t>
  </si>
  <si>
    <t>John Helliwell</t>
  </si>
  <si>
    <t>062649</t>
  </si>
  <si>
    <t>062631</t>
  </si>
  <si>
    <t>061047</t>
  </si>
  <si>
    <t>062532</t>
  </si>
  <si>
    <t>062045</t>
  </si>
  <si>
    <t>062706</t>
  </si>
  <si>
    <t>061146</t>
  </si>
  <si>
    <t>060619</t>
  </si>
  <si>
    <t>061906</t>
  </si>
  <si>
    <t>061914</t>
  </si>
  <si>
    <t>061062</t>
  </si>
  <si>
    <t>062433</t>
  </si>
  <si>
    <t>EARS Stewardship</t>
  </si>
  <si>
    <t>062805</t>
  </si>
  <si>
    <t>Ralph Dean Blankenship</t>
  </si>
  <si>
    <t>Tote Stewardship</t>
  </si>
  <si>
    <t>UGA Stewardship</t>
  </si>
  <si>
    <t>Wabbit Stewardship</t>
  </si>
  <si>
    <t>Wing Stewardship</t>
  </si>
  <si>
    <t>Tonka Stewardship</t>
  </si>
  <si>
    <t>062862</t>
  </si>
  <si>
    <t>062896</t>
  </si>
  <si>
    <t>062870</t>
  </si>
  <si>
    <t>062904</t>
  </si>
  <si>
    <t>062912</t>
  </si>
  <si>
    <t>TM Construction, Inc
TM Construction, Inc</t>
  </si>
  <si>
    <t>Daniel Fanning</t>
  </si>
  <si>
    <t>Gordon W Chew</t>
  </si>
  <si>
    <t>Scott Hill</t>
  </si>
  <si>
    <t>Tower</t>
  </si>
  <si>
    <t>063050</t>
  </si>
  <si>
    <t>Zarkof Salvage</t>
  </si>
  <si>
    <t>063100</t>
  </si>
  <si>
    <t>City &amp; Borough of Sitka</t>
  </si>
  <si>
    <t>Blue Lake Hydro Settlement</t>
  </si>
  <si>
    <t>063167</t>
  </si>
  <si>
    <t>Kadacorner</t>
  </si>
  <si>
    <t>063183</t>
  </si>
  <si>
    <t>The Slugs</t>
  </si>
  <si>
    <t>063308</t>
  </si>
  <si>
    <t>Jerry Baker</t>
  </si>
  <si>
    <t>Jim Colier</t>
  </si>
  <si>
    <t>McCormick Microsale #3</t>
  </si>
  <si>
    <t>063399</t>
  </si>
  <si>
    <t>Turnagain Quarry Settlement</t>
  </si>
  <si>
    <t>Hatchet</t>
  </si>
  <si>
    <t>Northern Wood Products Inc</t>
  </si>
  <si>
    <t>063415</t>
  </si>
  <si>
    <t>The Knob</t>
  </si>
  <si>
    <t>December Point Reoffer</t>
  </si>
  <si>
    <t>063431</t>
  </si>
  <si>
    <t>063472</t>
  </si>
  <si>
    <t>063423</t>
  </si>
  <si>
    <t>High Road</t>
  </si>
  <si>
    <t>063449</t>
  </si>
  <si>
    <t>Wesley B Johnson</t>
  </si>
  <si>
    <t>Big Thorne Stewardship</t>
  </si>
  <si>
    <t>063639</t>
  </si>
  <si>
    <t>Evergreen Alaska Inc</t>
  </si>
  <si>
    <t>Devils Unit 106 Stewardship</t>
  </si>
  <si>
    <t>002679</t>
  </si>
  <si>
    <t>Microsale #037</t>
  </si>
  <si>
    <t>063647</t>
  </si>
  <si>
    <t>Greens Creek Tailing</t>
  </si>
  <si>
    <t>Microsale #206</t>
  </si>
  <si>
    <t>063662</t>
  </si>
  <si>
    <t>063704</t>
  </si>
  <si>
    <t>North Chatham</t>
  </si>
  <si>
    <t>Last Stand</t>
  </si>
  <si>
    <t>063712</t>
  </si>
  <si>
    <t>063688</t>
  </si>
  <si>
    <t>South Line ROW Reoffer</t>
  </si>
  <si>
    <t>064322</t>
  </si>
  <si>
    <t>063720</t>
  </si>
  <si>
    <t>Highway 43 Salvage</t>
  </si>
  <si>
    <t>Microsale #209</t>
  </si>
  <si>
    <t>William C Musser</t>
  </si>
  <si>
    <t>Microsale #205</t>
  </si>
  <si>
    <t>064355</t>
  </si>
  <si>
    <t>063654</t>
  </si>
  <si>
    <t>In Between</t>
  </si>
  <si>
    <t>Amalgamated Minerals Int Inc</t>
  </si>
  <si>
    <t>Good Faith Lumber LLC</t>
  </si>
  <si>
    <t>Microsale #210</t>
  </si>
  <si>
    <t>Micheal B Allen Jr</t>
  </si>
  <si>
    <t>063696</t>
  </si>
  <si>
    <t>064363</t>
  </si>
  <si>
    <t>Alaska Musicwood Industries</t>
  </si>
  <si>
    <t>Microsale #211</t>
  </si>
  <si>
    <t>064405</t>
  </si>
  <si>
    <t>Contract Form</t>
  </si>
  <si>
    <t>Little Buck</t>
  </si>
  <si>
    <t>Microsale #216</t>
  </si>
  <si>
    <t>Microsale #213</t>
  </si>
  <si>
    <t>6T</t>
  </si>
  <si>
    <t>064439</t>
  </si>
  <si>
    <t>064421</t>
  </si>
  <si>
    <t>064447</t>
  </si>
  <si>
    <t>064454</t>
  </si>
  <si>
    <t>33T</t>
  </si>
  <si>
    <t>K &amp; D Lumber</t>
  </si>
  <si>
    <t>Buck Rush Reoffer</t>
  </si>
  <si>
    <t>Microsale #215</t>
  </si>
  <si>
    <t>064462</t>
  </si>
  <si>
    <t>Microsale #218</t>
  </si>
  <si>
    <t>064496</t>
  </si>
  <si>
    <t>Alcan Timber Inc</t>
  </si>
  <si>
    <t>Big Buck</t>
  </si>
  <si>
    <t>Sand Pit #2 Settlement</t>
  </si>
  <si>
    <t>Unit 46 Reoffer</t>
  </si>
  <si>
    <t>Raymond Clavel</t>
  </si>
  <si>
    <t>Microsale #207</t>
  </si>
  <si>
    <t>Camel Back</t>
  </si>
  <si>
    <t>064520</t>
  </si>
  <si>
    <t>064512</t>
  </si>
  <si>
    <t>064538</t>
  </si>
  <si>
    <t>064546</t>
  </si>
  <si>
    <t>T.L.C. Management, LLC</t>
  </si>
  <si>
    <t>Tightline</t>
  </si>
  <si>
    <t>Rayray</t>
  </si>
  <si>
    <t>064579</t>
  </si>
  <si>
    <t>064561</t>
  </si>
  <si>
    <t>Microsale #219</t>
  </si>
  <si>
    <t>Pump Creek</t>
  </si>
  <si>
    <t>064603</t>
  </si>
  <si>
    <t>064611</t>
  </si>
  <si>
    <t>Thayer Lake Settlement</t>
  </si>
  <si>
    <t>Kootznoowoo Incorporated</t>
  </si>
  <si>
    <t>064629</t>
  </si>
  <si>
    <t>Microsale #220</t>
  </si>
  <si>
    <t>3T</t>
  </si>
  <si>
    <t>064645</t>
  </si>
  <si>
    <t>064637</t>
  </si>
  <si>
    <t>1</t>
  </si>
  <si>
    <t>Microsale 2052 Reoffer</t>
  </si>
  <si>
    <t>Microsale #223</t>
  </si>
  <si>
    <t>David Lapeyrouse</t>
  </si>
  <si>
    <t>Microsale #222</t>
  </si>
  <si>
    <t>064660</t>
  </si>
  <si>
    <t>064652</t>
  </si>
  <si>
    <t>Alaska Region Check</t>
  </si>
  <si>
    <t>Purchaser Check</t>
  </si>
  <si>
    <t>Microsale #224</t>
  </si>
  <si>
    <t>Western Gold Cedar Products</t>
  </si>
  <si>
    <t>Billy Goat</t>
  </si>
  <si>
    <t>Microsale #229</t>
  </si>
  <si>
    <t>064678</t>
  </si>
  <si>
    <t>064694</t>
  </si>
  <si>
    <t>064686</t>
  </si>
  <si>
    <t>Purchaser Summary</t>
  </si>
  <si>
    <t>Ranger District Check</t>
  </si>
  <si>
    <t>Alaska Tonewood LLC</t>
  </si>
  <si>
    <t>Microsale #225</t>
  </si>
  <si>
    <t>McCormick Microsale</t>
  </si>
  <si>
    <t>Microsale #232</t>
  </si>
  <si>
    <t>Microsale #227</t>
  </si>
  <si>
    <t>064728</t>
  </si>
  <si>
    <t>064736</t>
  </si>
  <si>
    <t>Glacier - 10</t>
  </si>
  <si>
    <t>Cordova - 20</t>
  </si>
  <si>
    <t>Seward - 30</t>
  </si>
  <si>
    <t>Ranger Districts</t>
  </si>
  <si>
    <t>Petersburg - 21</t>
  </si>
  <si>
    <t>Wrangell - 22</t>
  </si>
  <si>
    <t>Sitka - 31</t>
  </si>
  <si>
    <t>Hoonah - 32</t>
  </si>
  <si>
    <t>Juneau - 33</t>
  </si>
  <si>
    <t>Admirality - 34</t>
  </si>
  <si>
    <t>Yakutat - 35</t>
  </si>
  <si>
    <t>Craig - 51</t>
  </si>
  <si>
    <t>Ketchikan - 52</t>
  </si>
  <si>
    <t>Thorne Bay - 54</t>
  </si>
  <si>
    <t>920564</t>
  </si>
  <si>
    <t>920556</t>
  </si>
  <si>
    <t>920572</t>
  </si>
  <si>
    <t>064702</t>
  </si>
  <si>
    <t>064710</t>
  </si>
  <si>
    <t>13T</t>
  </si>
  <si>
    <t>Tongass National Forest Sales</t>
  </si>
  <si>
    <t>Tongass National Forest Permits</t>
  </si>
  <si>
    <t>Chugach National Forest Sales</t>
  </si>
  <si>
    <t>Chugach National Forest Permits</t>
  </si>
  <si>
    <t>Alaska Region Summary</t>
  </si>
  <si>
    <t>Tongass National Forest Sales (Continued)</t>
  </si>
  <si>
    <t>Tongass NF Sales With Remaining Volume:</t>
  </si>
  <si>
    <t>Tongass NF Permits With Remaining Volume:</t>
  </si>
  <si>
    <t>Tongass NF Sales Count:</t>
  </si>
  <si>
    <t>Tongass NF Permits Ct:</t>
  </si>
  <si>
    <t>Chugach NF Permits Ct:</t>
  </si>
  <si>
    <t>Chugach NF Sales Count:</t>
  </si>
  <si>
    <t>Chugach NF Sales With Remaining  Volume:</t>
  </si>
  <si>
    <t>Chugach NF Permits With Remaining Volume:</t>
  </si>
  <si>
    <t>R10 Sales + Permits Count With Remaining  Volume:</t>
  </si>
  <si>
    <t>R10 Sales + Permits Ct:</t>
  </si>
  <si>
    <t>Zach Laperriere</t>
  </si>
  <si>
    <t>920580</t>
  </si>
  <si>
    <t>Microsale #230</t>
  </si>
  <si>
    <t>Microsale #236</t>
  </si>
  <si>
    <t>Microsale #234</t>
  </si>
  <si>
    <t>Microsale #233</t>
  </si>
  <si>
    <t>Microsale #228</t>
  </si>
  <si>
    <t>Fan</t>
  </si>
  <si>
    <t>Robert Patten</t>
  </si>
  <si>
    <t>Microsale #231</t>
  </si>
  <si>
    <t>064785</t>
  </si>
  <si>
    <t>064827</t>
  </si>
  <si>
    <t>064835</t>
  </si>
  <si>
    <t>064793</t>
  </si>
  <si>
    <t>064769</t>
  </si>
  <si>
    <t>064777</t>
  </si>
  <si>
    <t>064751</t>
  </si>
  <si>
    <t>064744</t>
  </si>
  <si>
    <t>064819</t>
  </si>
  <si>
    <t>Brent Cole</t>
  </si>
  <si>
    <t>Microsale #237</t>
  </si>
  <si>
    <t>SATYR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</si>
</sst>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m/d/yyyy;@"/>
  </numFmts>
  <fonts count="7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2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2">
    <xf numFmtId="0" fontId="0" fillId="0" borderId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2" applyNumberFormat="0" applyAlignment="0" applyProtection="0"/>
    <xf numFmtId="0" fontId="40" fillId="28" borderId="3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0" borderId="7" applyNumberFormat="0" applyFill="0" applyAlignment="0" applyProtection="0"/>
    <xf numFmtId="0" fontId="48" fillId="31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32" borderId="8" applyNumberFormat="0" applyFont="0" applyAlignment="0" applyProtection="0"/>
    <xf numFmtId="0" fontId="36" fillId="32" borderId="8" applyNumberFormat="0" applyFont="0" applyAlignment="0" applyProtection="0"/>
    <xf numFmtId="0" fontId="36" fillId="32" borderId="8" applyNumberFormat="0" applyFont="0" applyAlignment="0" applyProtection="0"/>
    <xf numFmtId="0" fontId="36" fillId="32" borderId="8" applyNumberFormat="0" applyFont="0" applyAlignment="0" applyProtection="0"/>
    <xf numFmtId="0" fontId="36" fillId="32" borderId="8" applyNumberFormat="0" applyFont="0" applyAlignment="0" applyProtection="0"/>
    <xf numFmtId="0" fontId="36" fillId="32" borderId="8" applyNumberFormat="0" applyFont="0" applyAlignment="0" applyProtection="0"/>
    <xf numFmtId="0" fontId="36" fillId="32" borderId="8" applyNumberFormat="0" applyFont="0" applyAlignment="0" applyProtection="0"/>
    <xf numFmtId="0" fontId="36" fillId="32" borderId="8" applyNumberFormat="0" applyFont="0" applyAlignment="0" applyProtection="0"/>
    <xf numFmtId="0" fontId="36" fillId="32" borderId="8" applyNumberFormat="0" applyFont="0" applyAlignment="0" applyProtection="0"/>
    <xf numFmtId="0" fontId="36" fillId="32" borderId="8" applyNumberFormat="0" applyFont="0" applyAlignment="0" applyProtection="0"/>
    <xf numFmtId="0" fontId="36" fillId="32" borderId="8" applyNumberFormat="0" applyFont="0" applyAlignment="0" applyProtection="0"/>
    <xf numFmtId="0" fontId="36" fillId="32" borderId="8" applyNumberFormat="0" applyFont="0" applyAlignment="0" applyProtection="0"/>
    <xf numFmtId="0" fontId="36" fillId="32" borderId="8" applyNumberFormat="0" applyFont="0" applyAlignment="0" applyProtection="0"/>
    <xf numFmtId="0" fontId="36" fillId="32" borderId="8" applyNumberFormat="0" applyFont="0" applyAlignment="0" applyProtection="0"/>
    <xf numFmtId="0" fontId="36" fillId="32" borderId="8" applyNumberFormat="0" applyFont="0" applyAlignment="0" applyProtection="0"/>
    <xf numFmtId="0" fontId="36" fillId="32" borderId="8" applyNumberFormat="0" applyFont="0" applyAlignment="0" applyProtection="0"/>
    <xf numFmtId="0" fontId="36" fillId="32" borderId="8" applyNumberFormat="0" applyFont="0" applyAlignment="0" applyProtection="0"/>
    <xf numFmtId="0" fontId="36" fillId="32" borderId="8" applyNumberFormat="0" applyFont="0" applyAlignment="0" applyProtection="0"/>
    <xf numFmtId="0" fontId="36" fillId="32" borderId="8" applyNumberFormat="0" applyFont="0" applyAlignment="0" applyProtection="0"/>
    <xf numFmtId="0" fontId="36" fillId="32" borderId="8" applyNumberFormat="0" applyFont="0" applyAlignment="0" applyProtection="0"/>
    <xf numFmtId="0" fontId="36" fillId="32" borderId="8" applyNumberFormat="0" applyFont="0" applyAlignment="0" applyProtection="0"/>
    <xf numFmtId="0" fontId="36" fillId="32" borderId="8" applyNumberFormat="0" applyFont="0" applyAlignment="0" applyProtection="0"/>
    <xf numFmtId="0" fontId="36" fillId="32" borderId="8" applyNumberFormat="0" applyFont="0" applyAlignment="0" applyProtection="0"/>
    <xf numFmtId="0" fontId="36" fillId="32" borderId="8" applyNumberFormat="0" applyFont="0" applyAlignment="0" applyProtection="0"/>
    <xf numFmtId="0" fontId="36" fillId="32" borderId="8" applyNumberFormat="0" applyFont="0" applyAlignment="0" applyProtection="0"/>
    <xf numFmtId="0" fontId="36" fillId="32" borderId="8" applyNumberFormat="0" applyFont="0" applyAlignment="0" applyProtection="0"/>
    <xf numFmtId="0" fontId="36" fillId="32" borderId="8" applyNumberFormat="0" applyFont="0" applyAlignment="0" applyProtection="0"/>
    <xf numFmtId="0" fontId="36" fillId="32" borderId="8" applyNumberFormat="0" applyFont="0" applyAlignment="0" applyProtection="0"/>
    <xf numFmtId="0" fontId="36" fillId="32" borderId="8" applyNumberFormat="0" applyFont="0" applyAlignment="0" applyProtection="0"/>
    <xf numFmtId="0" fontId="36" fillId="32" borderId="8" applyNumberFormat="0" applyFont="0" applyAlignment="0" applyProtection="0"/>
    <xf numFmtId="0" fontId="36" fillId="32" borderId="8" applyNumberFormat="0" applyFont="0" applyAlignment="0" applyProtection="0"/>
    <xf numFmtId="0" fontId="36" fillId="32" borderId="8" applyNumberFormat="0" applyFont="0" applyAlignment="0" applyProtection="0"/>
    <xf numFmtId="0" fontId="36" fillId="32" borderId="8" applyNumberFormat="0" applyFont="0" applyAlignment="0" applyProtection="0"/>
    <xf numFmtId="0" fontId="36" fillId="32" borderId="8" applyNumberFormat="0" applyFont="0" applyAlignment="0" applyProtection="0"/>
    <xf numFmtId="0" fontId="36" fillId="32" borderId="8" applyNumberFormat="0" applyFont="0" applyAlignment="0" applyProtection="0"/>
    <xf numFmtId="0" fontId="36" fillId="32" borderId="8" applyNumberFormat="0" applyFont="0" applyAlignment="0" applyProtection="0"/>
    <xf numFmtId="0" fontId="36" fillId="32" borderId="8" applyNumberFormat="0" applyFont="0" applyAlignment="0" applyProtection="0"/>
    <xf numFmtId="0" fontId="36" fillId="32" borderId="8" applyNumberFormat="0" applyFont="0" applyAlignment="0" applyProtection="0"/>
    <xf numFmtId="0" fontId="36" fillId="32" borderId="8" applyNumberFormat="0" applyFont="0" applyAlignment="0" applyProtection="0"/>
    <xf numFmtId="0" fontId="36" fillId="32" borderId="8" applyNumberFormat="0" applyFont="0" applyAlignment="0" applyProtection="0"/>
    <xf numFmtId="0" fontId="36" fillId="32" borderId="8" applyNumberFormat="0" applyFont="0" applyAlignment="0" applyProtection="0"/>
    <xf numFmtId="0" fontId="36" fillId="32" borderId="8" applyNumberFormat="0" applyFont="0" applyAlignment="0" applyProtection="0"/>
    <xf numFmtId="0" fontId="36" fillId="32" borderId="8" applyNumberFormat="0" applyFont="0" applyAlignment="0" applyProtection="0"/>
    <xf numFmtId="0" fontId="36" fillId="32" borderId="8" applyNumberFormat="0" applyFont="0" applyAlignment="0" applyProtection="0"/>
    <xf numFmtId="0" fontId="36" fillId="32" borderId="8" applyNumberFormat="0" applyFont="0" applyAlignment="0" applyProtection="0"/>
    <xf numFmtId="0" fontId="36" fillId="32" borderId="8" applyNumberFormat="0" applyFont="0" applyAlignment="0" applyProtection="0"/>
    <xf numFmtId="0" fontId="36" fillId="32" borderId="8" applyNumberFormat="0" applyFont="0" applyAlignment="0" applyProtection="0"/>
    <xf numFmtId="0" fontId="36" fillId="32" borderId="8" applyNumberFormat="0" applyFont="0" applyAlignment="0" applyProtection="0"/>
    <xf numFmtId="0" fontId="36" fillId="32" borderId="8" applyNumberFormat="0" applyFont="0" applyAlignment="0" applyProtection="0"/>
    <xf numFmtId="0" fontId="36" fillId="32" borderId="8" applyNumberFormat="0" applyFont="0" applyAlignment="0" applyProtection="0"/>
    <xf numFmtId="0" fontId="36" fillId="32" borderId="8" applyNumberFormat="0" applyFont="0" applyAlignment="0" applyProtection="0"/>
    <xf numFmtId="0" fontId="36" fillId="32" borderId="8" applyNumberFormat="0" applyFont="0" applyAlignment="0" applyProtection="0"/>
    <xf numFmtId="0" fontId="36" fillId="32" borderId="8" applyNumberFormat="0" applyFont="0" applyAlignment="0" applyProtection="0"/>
    <xf numFmtId="0" fontId="36" fillId="32" borderId="8" applyNumberFormat="0" applyFont="0" applyAlignment="0" applyProtection="0"/>
    <xf numFmtId="0" fontId="36" fillId="32" borderId="8" applyNumberFormat="0" applyFont="0" applyAlignment="0" applyProtection="0"/>
    <xf numFmtId="0" fontId="36" fillId="32" borderId="8" applyNumberFormat="0" applyFont="0" applyAlignment="0" applyProtection="0"/>
    <xf numFmtId="0" fontId="36" fillId="32" borderId="8" applyNumberFormat="0" applyFont="0" applyAlignment="0" applyProtection="0"/>
    <xf numFmtId="0" fontId="36" fillId="32" borderId="8" applyNumberFormat="0" applyFont="0" applyAlignment="0" applyProtection="0"/>
    <xf numFmtId="0" fontId="36" fillId="32" borderId="8" applyNumberFormat="0" applyFont="0" applyAlignment="0" applyProtection="0"/>
    <xf numFmtId="0" fontId="36" fillId="32" borderId="8" applyNumberFormat="0" applyFont="0" applyAlignment="0" applyProtection="0"/>
    <xf numFmtId="0" fontId="36" fillId="32" borderId="8" applyNumberFormat="0" applyFont="0" applyAlignment="0" applyProtection="0"/>
    <xf numFmtId="0" fontId="36" fillId="32" borderId="8" applyNumberFormat="0" applyFont="0" applyAlignment="0" applyProtection="0"/>
    <xf numFmtId="0" fontId="36" fillId="32" borderId="8" applyNumberFormat="0" applyFont="0" applyAlignment="0" applyProtection="0"/>
    <xf numFmtId="0" fontId="36" fillId="32" borderId="8" applyNumberFormat="0" applyFont="0" applyAlignment="0" applyProtection="0"/>
    <xf numFmtId="0" fontId="36" fillId="32" borderId="8" applyNumberFormat="0" applyFont="0" applyAlignment="0" applyProtection="0"/>
    <xf numFmtId="0" fontId="49" fillId="27" borderId="9" applyNumberFormat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33" fillId="0" borderId="0"/>
    <xf numFmtId="0" fontId="33" fillId="32" borderId="8" applyNumberFormat="0" applyFont="0" applyAlignment="0" applyProtection="0"/>
    <xf numFmtId="0" fontId="33" fillId="2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2" fillId="0" borderId="0"/>
    <xf numFmtId="0" fontId="32" fillId="32" borderId="8" applyNumberFormat="0" applyFont="0" applyAlignment="0" applyProtection="0"/>
    <xf numFmtId="0" fontId="32" fillId="2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4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1" fillId="0" borderId="0"/>
    <xf numFmtId="0" fontId="31" fillId="32" borderId="8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0" fillId="0" borderId="0"/>
    <xf numFmtId="0" fontId="30" fillId="32" borderId="8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29" fillId="0" borderId="0"/>
    <xf numFmtId="0" fontId="29" fillId="32" borderId="8" applyNumberFormat="0" applyFont="0" applyAlignment="0" applyProtection="0"/>
    <xf numFmtId="0" fontId="29" fillId="2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9" borderId="0" applyNumberFormat="0" applyBorder="0" applyAlignment="0" applyProtection="0"/>
    <xf numFmtId="0" fontId="29" fillId="4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8" fillId="0" borderId="0"/>
    <xf numFmtId="0" fontId="28" fillId="32" borderId="8" applyNumberFormat="0" applyFont="0" applyAlignment="0" applyProtection="0"/>
    <xf numFmtId="0" fontId="28" fillId="2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4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6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7" fillId="0" borderId="0"/>
    <xf numFmtId="0" fontId="27" fillId="32" borderId="8" applyNumberFormat="0" applyFont="0" applyAlignment="0" applyProtection="0"/>
    <xf numFmtId="0" fontId="27" fillId="2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4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6" fillId="0" borderId="0"/>
    <xf numFmtId="0" fontId="26" fillId="32" borderId="8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5" fillId="0" borderId="0"/>
    <xf numFmtId="0" fontId="25" fillId="32" borderId="8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4" fillId="0" borderId="0"/>
    <xf numFmtId="0" fontId="24" fillId="32" borderId="8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3" fillId="0" borderId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26" borderId="0" applyNumberFormat="0" applyBorder="0" applyAlignment="0" applyProtection="0"/>
    <xf numFmtId="0" fontId="60" fillId="31" borderId="0" applyNumberFormat="0" applyBorder="0" applyAlignment="0" applyProtection="0"/>
    <xf numFmtId="0" fontId="61" fillId="30" borderId="2" applyNumberFormat="0" applyAlignment="0" applyProtection="0"/>
    <xf numFmtId="0" fontId="62" fillId="27" borderId="9" applyNumberFormat="0" applyAlignment="0" applyProtection="0"/>
    <xf numFmtId="0" fontId="63" fillId="27" borderId="2" applyNumberFormat="0" applyAlignment="0" applyProtection="0"/>
    <xf numFmtId="0" fontId="64" fillId="0" borderId="7" applyNumberFormat="0" applyFill="0" applyAlignment="0" applyProtection="0"/>
    <xf numFmtId="0" fontId="65" fillId="28" borderId="3" applyNumberFormat="0" applyAlignment="0" applyProtection="0"/>
    <xf numFmtId="0" fontId="66" fillId="0" borderId="0" applyNumberFormat="0" applyFill="0" applyBorder="0" applyAlignment="0" applyProtection="0"/>
    <xf numFmtId="0" fontId="23" fillId="32" borderId="8" applyNumberFormat="0" applyFont="0" applyAlignment="0" applyProtection="0"/>
    <xf numFmtId="0" fontId="67" fillId="0" borderId="0" applyNumberFormat="0" applyFill="0" applyBorder="0" applyAlignment="0" applyProtection="0"/>
    <xf numFmtId="0" fontId="68" fillId="0" borderId="10" applyNumberFormat="0" applyFill="0" applyAlignment="0" applyProtection="0"/>
    <xf numFmtId="0" fontId="69" fillId="20" borderId="0" applyNumberFormat="0" applyBorder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69" fillId="14" borderId="0" applyNumberFormat="0" applyBorder="0" applyAlignment="0" applyProtection="0"/>
    <xf numFmtId="0" fontId="69" fillId="21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69" fillId="15" borderId="0" applyNumberFormat="0" applyBorder="0" applyAlignment="0" applyProtection="0"/>
    <xf numFmtId="0" fontId="69" fillId="22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69" fillId="16" borderId="0" applyNumberFormat="0" applyBorder="0" applyAlignment="0" applyProtection="0"/>
    <xf numFmtId="0" fontId="69" fillId="23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69" fillId="17" borderId="0" applyNumberFormat="0" applyBorder="0" applyAlignment="0" applyProtection="0"/>
    <xf numFmtId="0" fontId="69" fillId="24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69" fillId="18" borderId="0" applyNumberFormat="0" applyBorder="0" applyAlignment="0" applyProtection="0"/>
    <xf numFmtId="0" fontId="69" fillId="25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69" fillId="19" borderId="0" applyNumberFormat="0" applyBorder="0" applyAlignment="0" applyProtection="0"/>
    <xf numFmtId="0" fontId="22" fillId="0" borderId="0"/>
    <xf numFmtId="0" fontId="22" fillId="32" borderId="8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1" fillId="0" borderId="0"/>
    <xf numFmtId="0" fontId="21" fillId="32" borderId="8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0" fillId="0" borderId="0"/>
    <xf numFmtId="0" fontId="20" fillId="32" borderId="8" applyNumberFormat="0" applyFont="0" applyAlignment="0" applyProtection="0"/>
    <xf numFmtId="0" fontId="20" fillId="2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19" fillId="0" borderId="0"/>
    <xf numFmtId="0" fontId="19" fillId="32" borderId="8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8" fillId="0" borderId="0"/>
    <xf numFmtId="0" fontId="18" fillId="32" borderId="8" applyNumberFormat="0" applyFont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7" fillId="0" borderId="0"/>
    <xf numFmtId="0" fontId="17" fillId="32" borderId="8" applyNumberFormat="0" applyFont="0" applyAlignment="0" applyProtection="0"/>
    <xf numFmtId="0" fontId="17" fillId="2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6" fillId="0" borderId="0"/>
    <xf numFmtId="0" fontId="16" fillId="32" borderId="8" applyNumberFormat="0" applyFont="0" applyAlignment="0" applyProtection="0"/>
    <xf numFmtId="0" fontId="16" fillId="2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4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5" fillId="0" borderId="0"/>
    <xf numFmtId="0" fontId="15" fillId="32" borderId="8" applyNumberFormat="0" applyFont="0" applyAlignment="0" applyProtection="0"/>
    <xf numFmtId="0" fontId="15" fillId="2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4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13" borderId="0" applyNumberFormat="0" applyBorder="0" applyAlignment="0" applyProtection="0"/>
    <xf numFmtId="0" fontId="14" fillId="0" borderId="0"/>
    <xf numFmtId="0" fontId="14" fillId="32" borderId="8" applyNumberFormat="0" applyFont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3" fillId="0" borderId="0"/>
    <xf numFmtId="0" fontId="13" fillId="32" borderId="8" applyNumberFormat="0" applyFont="0" applyAlignment="0" applyProtection="0"/>
    <xf numFmtId="0" fontId="13" fillId="2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4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2" fillId="0" borderId="0"/>
    <xf numFmtId="0" fontId="12" fillId="32" borderId="8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1" fillId="0" borderId="0"/>
    <xf numFmtId="0" fontId="11" fillId="32" borderId="8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0" fillId="0" borderId="0"/>
    <xf numFmtId="0" fontId="10" fillId="32" borderId="8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9" fillId="0" borderId="0"/>
    <xf numFmtId="0" fontId="9" fillId="32" borderId="8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8" fillId="0" borderId="0"/>
    <xf numFmtId="0" fontId="8" fillId="32" borderId="8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7" fillId="0" borderId="0"/>
    <xf numFmtId="0" fontId="7" fillId="32" borderId="8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6" fillId="0" borderId="0"/>
    <xf numFmtId="0" fontId="6" fillId="32" borderId="8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5" fillId="0" borderId="0"/>
    <xf numFmtId="0" fontId="5" fillId="32" borderId="8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4" fillId="0" borderId="0"/>
    <xf numFmtId="0" fontId="4" fillId="32" borderId="8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3" fillId="0" borderId="0"/>
    <xf numFmtId="0" fontId="3" fillId="32" borderId="8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2" fillId="0" borderId="0"/>
    <xf numFmtId="0" fontId="2" fillId="32" borderId="8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</cellStyleXfs>
  <cellXfs count="106">
    <xf numFmtId="0" fontId="0" fillId="0" borderId="0" xfId="0"/>
    <xf numFmtId="0" fontId="34" fillId="0" borderId="0" xfId="0" applyFont="1" applyBorder="1"/>
    <xf numFmtId="1" fontId="34" fillId="0" borderId="0" xfId="0" applyNumberFormat="1" applyFont="1" applyBorder="1" applyAlignment="1">
      <alignment horizontal="center"/>
    </xf>
    <xf numFmtId="165" fontId="34" fillId="0" borderId="0" xfId="0" applyNumberFormat="1" applyFont="1" applyBorder="1" applyAlignment="1">
      <alignment horizontal="center"/>
    </xf>
    <xf numFmtId="0" fontId="35" fillId="0" borderId="0" xfId="0" applyFont="1" applyBorder="1"/>
    <xf numFmtId="0" fontId="34" fillId="0" borderId="0" xfId="0" applyFont="1" applyBorder="1" applyAlignment="1">
      <alignment horizontal="left"/>
    </xf>
    <xf numFmtId="1" fontId="34" fillId="0" borderId="0" xfId="0" applyNumberFormat="1" applyFont="1" applyBorder="1" applyAlignment="1">
      <alignment horizontal="left"/>
    </xf>
    <xf numFmtId="0" fontId="34" fillId="0" borderId="0" xfId="0" applyFont="1" applyBorder="1" applyAlignment="1">
      <alignment horizontal="center"/>
    </xf>
    <xf numFmtId="4" fontId="34" fillId="0" borderId="0" xfId="0" quotePrefix="1" applyNumberFormat="1" applyFont="1" applyBorder="1" applyAlignment="1">
      <alignment horizontal="center"/>
    </xf>
    <xf numFmtId="4" fontId="34" fillId="0" borderId="0" xfId="0" applyNumberFormat="1" applyFont="1" applyBorder="1" applyAlignment="1">
      <alignment horizontal="center"/>
    </xf>
    <xf numFmtId="0" fontId="34" fillId="0" borderId="1" xfId="0" applyFont="1" applyBorder="1" applyAlignment="1">
      <alignment horizontal="center" wrapText="1"/>
    </xf>
    <xf numFmtId="1" fontId="34" fillId="0" borderId="1" xfId="0" applyNumberFormat="1" applyFont="1" applyBorder="1" applyAlignment="1">
      <alignment horizontal="center" wrapText="1"/>
    </xf>
    <xf numFmtId="165" fontId="34" fillId="0" borderId="1" xfId="0" applyNumberFormat="1" applyFont="1" applyBorder="1" applyAlignment="1">
      <alignment horizontal="center" wrapText="1"/>
    </xf>
    <xf numFmtId="0" fontId="34" fillId="0" borderId="1" xfId="0" applyFont="1" applyBorder="1"/>
    <xf numFmtId="0" fontId="34" fillId="0" borderId="1" xfId="0" applyFont="1" applyBorder="1" applyAlignment="1">
      <alignment horizontal="left"/>
    </xf>
    <xf numFmtId="0" fontId="34" fillId="0" borderId="0" xfId="0" applyFont="1" applyBorder="1" applyAlignment="1">
      <alignment horizontal="center" vertical="center"/>
    </xf>
    <xf numFmtId="164" fontId="34" fillId="0" borderId="0" xfId="0" applyNumberFormat="1" applyFont="1" applyBorder="1" applyAlignment="1">
      <alignment horizontal="right"/>
    </xf>
    <xf numFmtId="0" fontId="34" fillId="0" borderId="0" xfId="0" applyFont="1" applyBorder="1" applyAlignment="1">
      <alignment horizontal="center" wrapText="1"/>
    </xf>
    <xf numFmtId="1" fontId="34" fillId="0" borderId="0" xfId="0" applyNumberFormat="1" applyFont="1" applyBorder="1" applyAlignment="1">
      <alignment horizontal="center" wrapText="1"/>
    </xf>
    <xf numFmtId="165" fontId="34" fillId="0" borderId="0" xfId="0" applyNumberFormat="1" applyFont="1" applyBorder="1" applyAlignment="1">
      <alignment horizontal="center" wrapText="1"/>
    </xf>
    <xf numFmtId="4" fontId="34" fillId="0" borderId="1" xfId="0" applyNumberFormat="1" applyFont="1" applyBorder="1" applyAlignment="1">
      <alignment horizontal="center" wrapText="1"/>
    </xf>
    <xf numFmtId="4" fontId="34" fillId="0" borderId="0" xfId="0" applyNumberFormat="1" applyFont="1" applyBorder="1" applyAlignment="1">
      <alignment horizontal="right"/>
    </xf>
    <xf numFmtId="0" fontId="34" fillId="0" borderId="0" xfId="0" applyFont="1" applyAlignment="1">
      <alignment horizontal="right"/>
    </xf>
    <xf numFmtId="49" fontId="34" fillId="0" borderId="0" xfId="0" applyNumberFormat="1" applyFont="1" applyBorder="1" applyAlignment="1">
      <alignment horizontal="center" vertical="center" wrapText="1"/>
    </xf>
    <xf numFmtId="0" fontId="34" fillId="0" borderId="0" xfId="0" applyFont="1" applyBorder="1" applyAlignment="1"/>
    <xf numFmtId="49" fontId="34" fillId="0" borderId="0" xfId="0" applyNumberFormat="1" applyFont="1" applyBorder="1" applyAlignment="1">
      <alignment horizontal="center" vertical="center"/>
    </xf>
    <xf numFmtId="0" fontId="34" fillId="0" borderId="0" xfId="0" applyFont="1" applyAlignment="1"/>
    <xf numFmtId="0" fontId="34" fillId="0" borderId="0" xfId="0" applyFont="1" applyBorder="1" applyAlignment="1">
      <alignment horizontal="right" vertical="center"/>
    </xf>
    <xf numFmtId="0" fontId="34" fillId="0" borderId="0" xfId="0" applyFont="1" applyBorder="1" applyAlignment="1">
      <alignment vertical="center"/>
    </xf>
    <xf numFmtId="1" fontId="34" fillId="0" borderId="0" xfId="0" applyNumberFormat="1" applyFont="1" applyBorder="1" applyAlignment="1">
      <alignment horizontal="center" vertical="center"/>
    </xf>
    <xf numFmtId="0" fontId="53" fillId="0" borderId="0" xfId="155" applyFont="1" applyAlignment="1">
      <alignment vertical="center"/>
    </xf>
    <xf numFmtId="0" fontId="53" fillId="0" borderId="0" xfId="141" applyFont="1" applyAlignment="1">
      <alignment vertical="center"/>
    </xf>
    <xf numFmtId="0" fontId="53" fillId="0" borderId="0" xfId="183" applyFont="1" applyAlignment="1">
      <alignment vertical="center"/>
    </xf>
    <xf numFmtId="0" fontId="5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4" fillId="0" borderId="0" xfId="0" applyFont="1" applyBorder="1" applyAlignment="1">
      <alignment vertical="center" wrapText="1"/>
    </xf>
    <xf numFmtId="0" fontId="53" fillId="0" borderId="0" xfId="39" applyFont="1" applyAlignment="1">
      <alignment vertical="center"/>
    </xf>
    <xf numFmtId="0" fontId="53" fillId="0" borderId="0" xfId="294" applyFont="1" applyAlignment="1">
      <alignment vertical="center"/>
    </xf>
    <xf numFmtId="0" fontId="53" fillId="0" borderId="0" xfId="448" applyFont="1" applyAlignment="1">
      <alignment vertical="center"/>
    </xf>
    <xf numFmtId="0" fontId="54" fillId="0" borderId="0" xfId="0" applyFont="1" applyAlignment="1">
      <alignment vertical="center"/>
    </xf>
    <xf numFmtId="4" fontId="53" fillId="0" borderId="0" xfId="518" applyNumberFormat="1" applyFont="1" applyAlignment="1">
      <alignment vertical="center"/>
    </xf>
    <xf numFmtId="0" fontId="53" fillId="0" borderId="0" xfId="37" applyFont="1" applyAlignment="1">
      <alignment horizontal="center" vertical="center"/>
    </xf>
    <xf numFmtId="49" fontId="53" fillId="0" borderId="0" xfId="37" applyNumberFormat="1" applyFont="1" applyAlignment="1">
      <alignment horizontal="center" vertical="center"/>
    </xf>
    <xf numFmtId="14" fontId="53" fillId="0" borderId="0" xfId="0" applyNumberFormat="1" applyFont="1" applyAlignment="1">
      <alignment horizontal="center" vertical="center"/>
    </xf>
    <xf numFmtId="164" fontId="53" fillId="0" borderId="0" xfId="0" applyNumberFormat="1" applyFont="1" applyAlignment="1">
      <alignment vertical="center"/>
    </xf>
    <xf numFmtId="164" fontId="53" fillId="0" borderId="0" xfId="518" applyNumberFormat="1" applyFont="1" applyAlignment="1">
      <alignment vertical="center"/>
    </xf>
    <xf numFmtId="1" fontId="34" fillId="0" borderId="0" xfId="0" applyNumberFormat="1" applyFont="1" applyBorder="1" applyAlignment="1">
      <alignment horizontal="left" vertical="center"/>
    </xf>
    <xf numFmtId="4" fontId="34" fillId="0" borderId="0" xfId="0" applyNumberFormat="1" applyFont="1" applyBorder="1" applyAlignment="1">
      <alignment horizontal="right" vertical="center"/>
    </xf>
    <xf numFmtId="164" fontId="34" fillId="0" borderId="0" xfId="0" applyNumberFormat="1" applyFont="1" applyBorder="1" applyAlignment="1">
      <alignment horizontal="right" vertical="center"/>
    </xf>
    <xf numFmtId="4" fontId="53" fillId="0" borderId="0" xfId="0" applyNumberFormat="1" applyFont="1" applyAlignment="1">
      <alignment vertical="center"/>
    </xf>
    <xf numFmtId="0" fontId="35" fillId="0" borderId="0" xfId="0" applyFont="1" applyBorder="1" applyAlignment="1">
      <alignment vertical="center"/>
    </xf>
    <xf numFmtId="0" fontId="53" fillId="0" borderId="0" xfId="406" applyFont="1" applyAlignment="1">
      <alignment horizontal="center" vertical="center"/>
    </xf>
    <xf numFmtId="49" fontId="53" fillId="0" borderId="0" xfId="406" applyNumberFormat="1" applyFont="1" applyAlignment="1">
      <alignment horizontal="center" vertical="center"/>
    </xf>
    <xf numFmtId="14" fontId="53" fillId="0" borderId="0" xfId="406" applyNumberFormat="1" applyFont="1" applyAlignment="1">
      <alignment horizontal="center" vertical="center"/>
    </xf>
    <xf numFmtId="0" fontId="53" fillId="0" borderId="0" xfId="392" applyFont="1" applyAlignment="1">
      <alignment vertical="center"/>
    </xf>
    <xf numFmtId="4" fontId="53" fillId="0" borderId="0" xfId="406" applyNumberFormat="1" applyFont="1" applyAlignment="1">
      <alignment vertical="center"/>
    </xf>
    <xf numFmtId="164" fontId="53" fillId="0" borderId="0" xfId="406" applyNumberFormat="1" applyFont="1" applyAlignment="1">
      <alignment vertical="center"/>
    </xf>
    <xf numFmtId="0" fontId="53" fillId="0" borderId="0" xfId="0" applyFont="1" applyAlignment="1">
      <alignment horizontal="center" vertical="center"/>
    </xf>
    <xf numFmtId="49" fontId="53" fillId="0" borderId="0" xfId="0" applyNumberFormat="1" applyFont="1" applyAlignment="1">
      <alignment horizontal="center" vertical="center"/>
    </xf>
    <xf numFmtId="0" fontId="53" fillId="0" borderId="0" xfId="169" applyFont="1" applyAlignment="1">
      <alignment horizontal="center" vertical="center"/>
    </xf>
    <xf numFmtId="49" fontId="53" fillId="0" borderId="0" xfId="169" applyNumberFormat="1" applyFont="1" applyAlignment="1">
      <alignment horizontal="center" vertical="center"/>
    </xf>
    <xf numFmtId="14" fontId="53" fillId="0" borderId="0" xfId="169" applyNumberFormat="1" applyFont="1" applyAlignment="1">
      <alignment horizontal="center" vertical="center"/>
    </xf>
    <xf numFmtId="0" fontId="53" fillId="0" borderId="0" xfId="169" applyFont="1" applyAlignment="1">
      <alignment vertical="center"/>
    </xf>
    <xf numFmtId="4" fontId="53" fillId="0" borderId="0" xfId="169" applyNumberFormat="1" applyFont="1" applyAlignment="1">
      <alignment vertical="center"/>
    </xf>
    <xf numFmtId="164" fontId="53" fillId="0" borderId="0" xfId="169" applyNumberFormat="1" applyFont="1" applyAlignment="1">
      <alignment vertical="center"/>
    </xf>
    <xf numFmtId="165" fontId="34" fillId="0" borderId="0" xfId="0" applyNumberFormat="1" applyFont="1" applyBorder="1" applyAlignment="1">
      <alignment horizontal="center" vertical="center"/>
    </xf>
    <xf numFmtId="4" fontId="34" fillId="0" borderId="0" xfId="0" applyNumberFormat="1" applyFont="1" applyFill="1" applyBorder="1" applyAlignment="1">
      <alignment horizontal="right" vertical="center"/>
    </xf>
    <xf numFmtId="164" fontId="34" fillId="0" borderId="0" xfId="0" applyNumberFormat="1" applyFont="1" applyFill="1" applyBorder="1" applyAlignment="1">
      <alignment horizontal="right" vertical="center"/>
    </xf>
    <xf numFmtId="0" fontId="34" fillId="0" borderId="0" xfId="0" applyFont="1" applyAlignment="1">
      <alignment vertical="center" wrapText="1"/>
    </xf>
    <xf numFmtId="3" fontId="34" fillId="0" borderId="0" xfId="0" applyNumberFormat="1" applyFont="1" applyBorder="1" applyAlignment="1">
      <alignment horizontal="left" vertical="center"/>
    </xf>
    <xf numFmtId="0" fontId="53" fillId="0" borderId="0" xfId="0" applyFont="1"/>
    <xf numFmtId="0" fontId="53" fillId="0" borderId="0" xfId="560" applyFont="1"/>
    <xf numFmtId="0" fontId="53" fillId="0" borderId="0" xfId="588" applyFont="1"/>
    <xf numFmtId="0" fontId="53" fillId="0" borderId="0" xfId="0" applyFont="1" applyAlignment="1">
      <alignment horizontal="center"/>
    </xf>
    <xf numFmtId="49" fontId="53" fillId="0" borderId="0" xfId="0" applyNumberFormat="1" applyFont="1" applyAlignment="1">
      <alignment horizontal="center"/>
    </xf>
    <xf numFmtId="14" fontId="53" fillId="0" borderId="0" xfId="0" applyNumberFormat="1" applyFont="1" applyAlignment="1">
      <alignment horizontal="center"/>
    </xf>
    <xf numFmtId="4" fontId="53" fillId="0" borderId="0" xfId="0" applyNumberFormat="1" applyFont="1"/>
    <xf numFmtId="164" fontId="53" fillId="0" borderId="0" xfId="0" applyNumberFormat="1" applyFont="1"/>
    <xf numFmtId="0" fontId="53" fillId="0" borderId="0" xfId="532" applyFont="1" applyAlignment="1">
      <alignment horizontal="center" vertical="center"/>
    </xf>
    <xf numFmtId="49" fontId="53" fillId="0" borderId="0" xfId="532" applyNumberFormat="1" applyFont="1" applyAlignment="1">
      <alignment horizontal="center" vertical="center"/>
    </xf>
    <xf numFmtId="4" fontId="53" fillId="0" borderId="0" xfId="532" applyNumberFormat="1" applyFont="1" applyAlignment="1">
      <alignment vertical="center"/>
    </xf>
    <xf numFmtId="164" fontId="53" fillId="0" borderId="0" xfId="532" applyNumberFormat="1" applyFont="1" applyAlignment="1">
      <alignment vertical="center"/>
    </xf>
    <xf numFmtId="1" fontId="34" fillId="0" borderId="0" xfId="0" applyNumberFormat="1" applyFont="1" applyBorder="1" applyAlignment="1">
      <alignment horizontal="center" vertical="center"/>
    </xf>
    <xf numFmtId="1" fontId="34" fillId="0" borderId="1" xfId="0" applyNumberFormat="1" applyFont="1" applyBorder="1" applyAlignment="1">
      <alignment horizontal="left" vertical="center"/>
    </xf>
    <xf numFmtId="4" fontId="34" fillId="0" borderId="1" xfId="0" applyNumberFormat="1" applyFont="1" applyFill="1" applyBorder="1" applyAlignment="1">
      <alignment horizontal="right" vertical="center"/>
    </xf>
    <xf numFmtId="164" fontId="34" fillId="0" borderId="1" xfId="0" applyNumberFormat="1" applyFont="1" applyFill="1" applyBorder="1" applyAlignment="1">
      <alignment horizontal="right" vertical="center"/>
    </xf>
    <xf numFmtId="1" fontId="3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34" fillId="0" borderId="0" xfId="0" applyNumberFormat="1" applyFont="1" applyBorder="1" applyAlignment="1">
      <alignment horizontal="center" vertical="center"/>
    </xf>
    <xf numFmtId="4" fontId="34" fillId="0" borderId="0" xfId="0" applyNumberFormat="1" applyFont="1" applyBorder="1" applyAlignment="1">
      <alignment horizontal="center" wrapText="1"/>
    </xf>
    <xf numFmtId="0" fontId="70" fillId="0" borderId="0" xfId="0" applyFont="1" applyBorder="1" applyAlignment="1">
      <alignment horizontal="left"/>
    </xf>
    <xf numFmtId="1" fontId="70" fillId="0" borderId="0" xfId="0" applyNumberFormat="1" applyFont="1" applyBorder="1" applyAlignment="1">
      <alignment horizontal="left" vertical="center"/>
    </xf>
    <xf numFmtId="4" fontId="34" fillId="33" borderId="0" xfId="0" applyNumberFormat="1" applyFont="1" applyFill="1" applyBorder="1" applyAlignment="1">
      <alignment horizontal="left" vertical="center"/>
    </xf>
    <xf numFmtId="0" fontId="34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right" vertical="center"/>
    </xf>
    <xf numFmtId="1" fontId="34" fillId="33" borderId="0" xfId="0" applyNumberFormat="1" applyFont="1" applyFill="1" applyBorder="1" applyAlignment="1">
      <alignment horizontal="center" vertical="center"/>
    </xf>
    <xf numFmtId="4" fontId="34" fillId="33" borderId="0" xfId="0" applyNumberFormat="1" applyFont="1" applyFill="1" applyBorder="1" applyAlignment="1">
      <alignment horizontal="right" vertical="center"/>
    </xf>
    <xf numFmtId="164" fontId="34" fillId="33" borderId="0" xfId="0" applyNumberFormat="1" applyFont="1" applyFill="1" applyBorder="1" applyAlignment="1">
      <alignment horizontal="right" vertical="center"/>
    </xf>
    <xf numFmtId="1" fontId="34" fillId="33" borderId="0" xfId="0" applyNumberFormat="1" applyFont="1" applyFill="1" applyAlignment="1">
      <alignment horizontal="center" vertical="center"/>
    </xf>
    <xf numFmtId="0" fontId="0" fillId="33" borderId="0" xfId="0" applyFill="1" applyAlignment="1">
      <alignment horizontal="right" vertical="center"/>
    </xf>
    <xf numFmtId="0" fontId="53" fillId="0" borderId="0" xfId="588" applyFont="1" applyAlignment="1">
      <alignment vertical="center"/>
    </xf>
    <xf numFmtId="0" fontId="53" fillId="0" borderId="0" xfId="588" applyNumberFormat="1" applyFont="1" applyAlignment="1">
      <alignment horizontal="left" wrapText="1"/>
    </xf>
    <xf numFmtId="0" fontId="0" fillId="0" borderId="1" xfId="0" applyBorder="1" applyAlignment="1">
      <alignment horizontal="center" vertical="center"/>
    </xf>
    <xf numFmtId="1" fontId="3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34" fillId="0" borderId="1" xfId="0" applyNumberFormat="1" applyFont="1" applyBorder="1" applyAlignment="1">
      <alignment horizontal="left" vertical="center" indent="2"/>
    </xf>
  </cellXfs>
  <cellStyles count="602">
    <cellStyle name="20% - Accent1" xfId="1" builtinId="30" customBuiltin="1"/>
    <cellStyle name="20% - Accent1 10" xfId="227"/>
    <cellStyle name="20% - Accent1 11" xfId="241"/>
    <cellStyle name="20% - Accent1 12" xfId="271"/>
    <cellStyle name="20% - Accent1 13" xfId="296"/>
    <cellStyle name="20% - Accent1 14" xfId="310"/>
    <cellStyle name="20% - Accent1 15" xfId="324"/>
    <cellStyle name="20% - Accent1 16" xfId="338"/>
    <cellStyle name="20% - Accent1 17" xfId="352"/>
    <cellStyle name="20% - Accent1 18" xfId="366"/>
    <cellStyle name="20% - Accent1 19" xfId="380"/>
    <cellStyle name="20% - Accent1 2" xfId="115"/>
    <cellStyle name="20% - Accent1 20" xfId="394"/>
    <cellStyle name="20% - Accent1 21" xfId="408"/>
    <cellStyle name="20% - Accent1 22" xfId="422"/>
    <cellStyle name="20% - Accent1 23" xfId="436"/>
    <cellStyle name="20% - Accent1 24" xfId="450"/>
    <cellStyle name="20% - Accent1 25" xfId="464"/>
    <cellStyle name="20% - Accent1 26" xfId="478"/>
    <cellStyle name="20% - Accent1 27" xfId="492"/>
    <cellStyle name="20% - Accent1 28" xfId="506"/>
    <cellStyle name="20% - Accent1 29" xfId="520"/>
    <cellStyle name="20% - Accent1 3" xfId="129"/>
    <cellStyle name="20% - Accent1 30" xfId="534"/>
    <cellStyle name="20% - Accent1 31" xfId="548"/>
    <cellStyle name="20% - Accent1 32" xfId="562"/>
    <cellStyle name="20% - Accent1 33" xfId="576"/>
    <cellStyle name="20% - Accent1 34" xfId="590"/>
    <cellStyle name="20% - Accent1 4" xfId="143"/>
    <cellStyle name="20% - Accent1 5" xfId="157"/>
    <cellStyle name="20% - Accent1 6" xfId="171"/>
    <cellStyle name="20% - Accent1 7" xfId="185"/>
    <cellStyle name="20% - Accent1 8" xfId="199"/>
    <cellStyle name="20% - Accent1 9" xfId="213"/>
    <cellStyle name="20% - Accent2" xfId="2" builtinId="34" customBuiltin="1"/>
    <cellStyle name="20% - Accent2 10" xfId="229"/>
    <cellStyle name="20% - Accent2 11" xfId="243"/>
    <cellStyle name="20% - Accent2 12" xfId="275"/>
    <cellStyle name="20% - Accent2 13" xfId="298"/>
    <cellStyle name="20% - Accent2 14" xfId="312"/>
    <cellStyle name="20% - Accent2 15" xfId="326"/>
    <cellStyle name="20% - Accent2 16" xfId="340"/>
    <cellStyle name="20% - Accent2 17" xfId="354"/>
    <cellStyle name="20% - Accent2 18" xfId="368"/>
    <cellStyle name="20% - Accent2 19" xfId="382"/>
    <cellStyle name="20% - Accent2 2" xfId="117"/>
    <cellStyle name="20% - Accent2 20" xfId="396"/>
    <cellStyle name="20% - Accent2 21" xfId="410"/>
    <cellStyle name="20% - Accent2 22" xfId="424"/>
    <cellStyle name="20% - Accent2 23" xfId="438"/>
    <cellStyle name="20% - Accent2 24" xfId="452"/>
    <cellStyle name="20% - Accent2 25" xfId="466"/>
    <cellStyle name="20% - Accent2 26" xfId="480"/>
    <cellStyle name="20% - Accent2 27" xfId="494"/>
    <cellStyle name="20% - Accent2 28" xfId="508"/>
    <cellStyle name="20% - Accent2 29" xfId="522"/>
    <cellStyle name="20% - Accent2 3" xfId="131"/>
    <cellStyle name="20% - Accent2 30" xfId="536"/>
    <cellStyle name="20% - Accent2 31" xfId="550"/>
    <cellStyle name="20% - Accent2 32" xfId="564"/>
    <cellStyle name="20% - Accent2 33" xfId="578"/>
    <cellStyle name="20% - Accent2 34" xfId="592"/>
    <cellStyle name="20% - Accent2 4" xfId="145"/>
    <cellStyle name="20% - Accent2 5" xfId="159"/>
    <cellStyle name="20% - Accent2 6" xfId="173"/>
    <cellStyle name="20% - Accent2 7" xfId="187"/>
    <cellStyle name="20% - Accent2 8" xfId="201"/>
    <cellStyle name="20% - Accent2 9" xfId="215"/>
    <cellStyle name="20% - Accent3" xfId="3" builtinId="38" customBuiltin="1"/>
    <cellStyle name="20% - Accent3 10" xfId="231"/>
    <cellStyle name="20% - Accent3 11" xfId="245"/>
    <cellStyle name="20% - Accent3 12" xfId="279"/>
    <cellStyle name="20% - Accent3 13" xfId="300"/>
    <cellStyle name="20% - Accent3 14" xfId="314"/>
    <cellStyle name="20% - Accent3 15" xfId="328"/>
    <cellStyle name="20% - Accent3 16" xfId="342"/>
    <cellStyle name="20% - Accent3 17" xfId="356"/>
    <cellStyle name="20% - Accent3 18" xfId="370"/>
    <cellStyle name="20% - Accent3 19" xfId="384"/>
    <cellStyle name="20% - Accent3 2" xfId="119"/>
    <cellStyle name="20% - Accent3 20" xfId="398"/>
    <cellStyle name="20% - Accent3 21" xfId="412"/>
    <cellStyle name="20% - Accent3 22" xfId="426"/>
    <cellStyle name="20% - Accent3 23" xfId="440"/>
    <cellStyle name="20% - Accent3 24" xfId="454"/>
    <cellStyle name="20% - Accent3 25" xfId="468"/>
    <cellStyle name="20% - Accent3 26" xfId="482"/>
    <cellStyle name="20% - Accent3 27" xfId="496"/>
    <cellStyle name="20% - Accent3 28" xfId="510"/>
    <cellStyle name="20% - Accent3 29" xfId="524"/>
    <cellStyle name="20% - Accent3 3" xfId="133"/>
    <cellStyle name="20% - Accent3 30" xfId="538"/>
    <cellStyle name="20% - Accent3 31" xfId="552"/>
    <cellStyle name="20% - Accent3 32" xfId="566"/>
    <cellStyle name="20% - Accent3 33" xfId="580"/>
    <cellStyle name="20% - Accent3 34" xfId="594"/>
    <cellStyle name="20% - Accent3 4" xfId="147"/>
    <cellStyle name="20% - Accent3 5" xfId="161"/>
    <cellStyle name="20% - Accent3 6" xfId="175"/>
    <cellStyle name="20% - Accent3 7" xfId="189"/>
    <cellStyle name="20% - Accent3 8" xfId="203"/>
    <cellStyle name="20% - Accent3 9" xfId="217"/>
    <cellStyle name="20% - Accent4" xfId="4" builtinId="42" customBuiltin="1"/>
    <cellStyle name="20% - Accent4 10" xfId="233"/>
    <cellStyle name="20% - Accent4 11" xfId="247"/>
    <cellStyle name="20% - Accent4 12" xfId="283"/>
    <cellStyle name="20% - Accent4 13" xfId="302"/>
    <cellStyle name="20% - Accent4 14" xfId="316"/>
    <cellStyle name="20% - Accent4 15" xfId="330"/>
    <cellStyle name="20% - Accent4 16" xfId="344"/>
    <cellStyle name="20% - Accent4 17" xfId="358"/>
    <cellStyle name="20% - Accent4 18" xfId="372"/>
    <cellStyle name="20% - Accent4 19" xfId="386"/>
    <cellStyle name="20% - Accent4 2" xfId="121"/>
    <cellStyle name="20% - Accent4 20" xfId="400"/>
    <cellStyle name="20% - Accent4 21" xfId="414"/>
    <cellStyle name="20% - Accent4 22" xfId="428"/>
    <cellStyle name="20% - Accent4 23" xfId="442"/>
    <cellStyle name="20% - Accent4 24" xfId="456"/>
    <cellStyle name="20% - Accent4 25" xfId="470"/>
    <cellStyle name="20% - Accent4 26" xfId="484"/>
    <cellStyle name="20% - Accent4 27" xfId="498"/>
    <cellStyle name="20% - Accent4 28" xfId="512"/>
    <cellStyle name="20% - Accent4 29" xfId="526"/>
    <cellStyle name="20% - Accent4 3" xfId="135"/>
    <cellStyle name="20% - Accent4 30" xfId="540"/>
    <cellStyle name="20% - Accent4 31" xfId="554"/>
    <cellStyle name="20% - Accent4 32" xfId="568"/>
    <cellStyle name="20% - Accent4 33" xfId="582"/>
    <cellStyle name="20% - Accent4 34" xfId="596"/>
    <cellStyle name="20% - Accent4 4" xfId="149"/>
    <cellStyle name="20% - Accent4 5" xfId="163"/>
    <cellStyle name="20% - Accent4 6" xfId="177"/>
    <cellStyle name="20% - Accent4 7" xfId="191"/>
    <cellStyle name="20% - Accent4 8" xfId="205"/>
    <cellStyle name="20% - Accent4 9" xfId="219"/>
    <cellStyle name="20% - Accent5" xfId="5" builtinId="46" customBuiltin="1"/>
    <cellStyle name="20% - Accent5 10" xfId="235"/>
    <cellStyle name="20% - Accent5 11" xfId="249"/>
    <cellStyle name="20% - Accent5 12" xfId="287"/>
    <cellStyle name="20% - Accent5 13" xfId="304"/>
    <cellStyle name="20% - Accent5 14" xfId="318"/>
    <cellStyle name="20% - Accent5 15" xfId="332"/>
    <cellStyle name="20% - Accent5 16" xfId="346"/>
    <cellStyle name="20% - Accent5 17" xfId="360"/>
    <cellStyle name="20% - Accent5 18" xfId="374"/>
    <cellStyle name="20% - Accent5 19" xfId="388"/>
    <cellStyle name="20% - Accent5 2" xfId="123"/>
    <cellStyle name="20% - Accent5 20" xfId="402"/>
    <cellStyle name="20% - Accent5 21" xfId="416"/>
    <cellStyle name="20% - Accent5 22" xfId="430"/>
    <cellStyle name="20% - Accent5 23" xfId="444"/>
    <cellStyle name="20% - Accent5 24" xfId="458"/>
    <cellStyle name="20% - Accent5 25" xfId="472"/>
    <cellStyle name="20% - Accent5 26" xfId="486"/>
    <cellStyle name="20% - Accent5 27" xfId="500"/>
    <cellStyle name="20% - Accent5 28" xfId="514"/>
    <cellStyle name="20% - Accent5 29" xfId="528"/>
    <cellStyle name="20% - Accent5 3" xfId="137"/>
    <cellStyle name="20% - Accent5 30" xfId="542"/>
    <cellStyle name="20% - Accent5 31" xfId="556"/>
    <cellStyle name="20% - Accent5 32" xfId="570"/>
    <cellStyle name="20% - Accent5 33" xfId="584"/>
    <cellStyle name="20% - Accent5 34" xfId="598"/>
    <cellStyle name="20% - Accent5 4" xfId="151"/>
    <cellStyle name="20% - Accent5 5" xfId="165"/>
    <cellStyle name="20% - Accent5 6" xfId="179"/>
    <cellStyle name="20% - Accent5 7" xfId="193"/>
    <cellStyle name="20% - Accent5 8" xfId="207"/>
    <cellStyle name="20% - Accent5 9" xfId="221"/>
    <cellStyle name="20% - Accent6" xfId="6" builtinId="50" customBuiltin="1"/>
    <cellStyle name="20% - Accent6 10" xfId="237"/>
    <cellStyle name="20% - Accent6 11" xfId="251"/>
    <cellStyle name="20% - Accent6 12" xfId="291"/>
    <cellStyle name="20% - Accent6 13" xfId="306"/>
    <cellStyle name="20% - Accent6 14" xfId="320"/>
    <cellStyle name="20% - Accent6 15" xfId="334"/>
    <cellStyle name="20% - Accent6 16" xfId="348"/>
    <cellStyle name="20% - Accent6 17" xfId="362"/>
    <cellStyle name="20% - Accent6 18" xfId="376"/>
    <cellStyle name="20% - Accent6 19" xfId="390"/>
    <cellStyle name="20% - Accent6 2" xfId="125"/>
    <cellStyle name="20% - Accent6 20" xfId="404"/>
    <cellStyle name="20% - Accent6 21" xfId="418"/>
    <cellStyle name="20% - Accent6 22" xfId="432"/>
    <cellStyle name="20% - Accent6 23" xfId="446"/>
    <cellStyle name="20% - Accent6 24" xfId="460"/>
    <cellStyle name="20% - Accent6 25" xfId="474"/>
    <cellStyle name="20% - Accent6 26" xfId="488"/>
    <cellStyle name="20% - Accent6 27" xfId="502"/>
    <cellStyle name="20% - Accent6 28" xfId="516"/>
    <cellStyle name="20% - Accent6 29" xfId="530"/>
    <cellStyle name="20% - Accent6 3" xfId="139"/>
    <cellStyle name="20% - Accent6 30" xfId="544"/>
    <cellStyle name="20% - Accent6 31" xfId="558"/>
    <cellStyle name="20% - Accent6 32" xfId="572"/>
    <cellStyle name="20% - Accent6 33" xfId="586"/>
    <cellStyle name="20% - Accent6 34" xfId="600"/>
    <cellStyle name="20% - Accent6 4" xfId="153"/>
    <cellStyle name="20% - Accent6 5" xfId="167"/>
    <cellStyle name="20% - Accent6 6" xfId="181"/>
    <cellStyle name="20% - Accent6 7" xfId="195"/>
    <cellStyle name="20% - Accent6 8" xfId="209"/>
    <cellStyle name="20% - Accent6 9" xfId="223"/>
    <cellStyle name="40% - Accent1" xfId="7" builtinId="31" customBuiltin="1"/>
    <cellStyle name="40% - Accent1 10" xfId="228"/>
    <cellStyle name="40% - Accent1 11" xfId="242"/>
    <cellStyle name="40% - Accent1 12" xfId="272"/>
    <cellStyle name="40% - Accent1 13" xfId="297"/>
    <cellStyle name="40% - Accent1 14" xfId="311"/>
    <cellStyle name="40% - Accent1 15" xfId="325"/>
    <cellStyle name="40% - Accent1 16" xfId="339"/>
    <cellStyle name="40% - Accent1 17" xfId="353"/>
    <cellStyle name="40% - Accent1 18" xfId="367"/>
    <cellStyle name="40% - Accent1 19" xfId="381"/>
    <cellStyle name="40% - Accent1 2" xfId="116"/>
    <cellStyle name="40% - Accent1 20" xfId="395"/>
    <cellStyle name="40% - Accent1 21" xfId="409"/>
    <cellStyle name="40% - Accent1 22" xfId="423"/>
    <cellStyle name="40% - Accent1 23" xfId="437"/>
    <cellStyle name="40% - Accent1 24" xfId="451"/>
    <cellStyle name="40% - Accent1 25" xfId="465"/>
    <cellStyle name="40% - Accent1 26" xfId="479"/>
    <cellStyle name="40% - Accent1 27" xfId="493"/>
    <cellStyle name="40% - Accent1 28" xfId="507"/>
    <cellStyle name="40% - Accent1 29" xfId="521"/>
    <cellStyle name="40% - Accent1 3" xfId="130"/>
    <cellStyle name="40% - Accent1 30" xfId="535"/>
    <cellStyle name="40% - Accent1 31" xfId="549"/>
    <cellStyle name="40% - Accent1 32" xfId="563"/>
    <cellStyle name="40% - Accent1 33" xfId="577"/>
    <cellStyle name="40% - Accent1 34" xfId="591"/>
    <cellStyle name="40% - Accent1 4" xfId="144"/>
    <cellStyle name="40% - Accent1 5" xfId="158"/>
    <cellStyle name="40% - Accent1 6" xfId="172"/>
    <cellStyle name="40% - Accent1 7" xfId="186"/>
    <cellStyle name="40% - Accent1 8" xfId="200"/>
    <cellStyle name="40% - Accent1 9" xfId="214"/>
    <cellStyle name="40% - Accent2" xfId="8" builtinId="35" customBuiltin="1"/>
    <cellStyle name="40% - Accent2 10" xfId="230"/>
    <cellStyle name="40% - Accent2 11" xfId="244"/>
    <cellStyle name="40% - Accent2 12" xfId="276"/>
    <cellStyle name="40% - Accent2 13" xfId="299"/>
    <cellStyle name="40% - Accent2 14" xfId="313"/>
    <cellStyle name="40% - Accent2 15" xfId="327"/>
    <cellStyle name="40% - Accent2 16" xfId="341"/>
    <cellStyle name="40% - Accent2 17" xfId="355"/>
    <cellStyle name="40% - Accent2 18" xfId="369"/>
    <cellStyle name="40% - Accent2 19" xfId="383"/>
    <cellStyle name="40% - Accent2 2" xfId="118"/>
    <cellStyle name="40% - Accent2 20" xfId="397"/>
    <cellStyle name="40% - Accent2 21" xfId="411"/>
    <cellStyle name="40% - Accent2 22" xfId="425"/>
    <cellStyle name="40% - Accent2 23" xfId="439"/>
    <cellStyle name="40% - Accent2 24" xfId="453"/>
    <cellStyle name="40% - Accent2 25" xfId="467"/>
    <cellStyle name="40% - Accent2 26" xfId="481"/>
    <cellStyle name="40% - Accent2 27" xfId="495"/>
    <cellStyle name="40% - Accent2 28" xfId="509"/>
    <cellStyle name="40% - Accent2 29" xfId="523"/>
    <cellStyle name="40% - Accent2 3" xfId="132"/>
    <cellStyle name="40% - Accent2 30" xfId="537"/>
    <cellStyle name="40% - Accent2 31" xfId="551"/>
    <cellStyle name="40% - Accent2 32" xfId="565"/>
    <cellStyle name="40% - Accent2 33" xfId="579"/>
    <cellStyle name="40% - Accent2 34" xfId="593"/>
    <cellStyle name="40% - Accent2 4" xfId="146"/>
    <cellStyle name="40% - Accent2 5" xfId="160"/>
    <cellStyle name="40% - Accent2 6" xfId="174"/>
    <cellStyle name="40% - Accent2 7" xfId="188"/>
    <cellStyle name="40% - Accent2 8" xfId="202"/>
    <cellStyle name="40% - Accent2 9" xfId="216"/>
    <cellStyle name="40% - Accent3" xfId="9" builtinId="39" customBuiltin="1"/>
    <cellStyle name="40% - Accent3 10" xfId="232"/>
    <cellStyle name="40% - Accent3 11" xfId="246"/>
    <cellStyle name="40% - Accent3 12" xfId="280"/>
    <cellStyle name="40% - Accent3 13" xfId="301"/>
    <cellStyle name="40% - Accent3 14" xfId="315"/>
    <cellStyle name="40% - Accent3 15" xfId="329"/>
    <cellStyle name="40% - Accent3 16" xfId="343"/>
    <cellStyle name="40% - Accent3 17" xfId="357"/>
    <cellStyle name="40% - Accent3 18" xfId="371"/>
    <cellStyle name="40% - Accent3 19" xfId="385"/>
    <cellStyle name="40% - Accent3 2" xfId="120"/>
    <cellStyle name="40% - Accent3 20" xfId="399"/>
    <cellStyle name="40% - Accent3 21" xfId="413"/>
    <cellStyle name="40% - Accent3 22" xfId="427"/>
    <cellStyle name="40% - Accent3 23" xfId="441"/>
    <cellStyle name="40% - Accent3 24" xfId="455"/>
    <cellStyle name="40% - Accent3 25" xfId="469"/>
    <cellStyle name="40% - Accent3 26" xfId="483"/>
    <cellStyle name="40% - Accent3 27" xfId="497"/>
    <cellStyle name="40% - Accent3 28" xfId="511"/>
    <cellStyle name="40% - Accent3 29" xfId="525"/>
    <cellStyle name="40% - Accent3 3" xfId="134"/>
    <cellStyle name="40% - Accent3 30" xfId="539"/>
    <cellStyle name="40% - Accent3 31" xfId="553"/>
    <cellStyle name="40% - Accent3 32" xfId="567"/>
    <cellStyle name="40% - Accent3 33" xfId="581"/>
    <cellStyle name="40% - Accent3 34" xfId="595"/>
    <cellStyle name="40% - Accent3 4" xfId="148"/>
    <cellStyle name="40% - Accent3 5" xfId="162"/>
    <cellStyle name="40% - Accent3 6" xfId="176"/>
    <cellStyle name="40% - Accent3 7" xfId="190"/>
    <cellStyle name="40% - Accent3 8" xfId="204"/>
    <cellStyle name="40% - Accent3 9" xfId="218"/>
    <cellStyle name="40% - Accent4" xfId="10" builtinId="43" customBuiltin="1"/>
    <cellStyle name="40% - Accent4 10" xfId="234"/>
    <cellStyle name="40% - Accent4 11" xfId="248"/>
    <cellStyle name="40% - Accent4 12" xfId="284"/>
    <cellStyle name="40% - Accent4 13" xfId="303"/>
    <cellStyle name="40% - Accent4 14" xfId="317"/>
    <cellStyle name="40% - Accent4 15" xfId="331"/>
    <cellStyle name="40% - Accent4 16" xfId="345"/>
    <cellStyle name="40% - Accent4 17" xfId="359"/>
    <cellStyle name="40% - Accent4 18" xfId="373"/>
    <cellStyle name="40% - Accent4 19" xfId="387"/>
    <cellStyle name="40% - Accent4 2" xfId="122"/>
    <cellStyle name="40% - Accent4 20" xfId="401"/>
    <cellStyle name="40% - Accent4 21" xfId="415"/>
    <cellStyle name="40% - Accent4 22" xfId="429"/>
    <cellStyle name="40% - Accent4 23" xfId="443"/>
    <cellStyle name="40% - Accent4 24" xfId="457"/>
    <cellStyle name="40% - Accent4 25" xfId="471"/>
    <cellStyle name="40% - Accent4 26" xfId="485"/>
    <cellStyle name="40% - Accent4 27" xfId="499"/>
    <cellStyle name="40% - Accent4 28" xfId="513"/>
    <cellStyle name="40% - Accent4 29" xfId="527"/>
    <cellStyle name="40% - Accent4 3" xfId="136"/>
    <cellStyle name="40% - Accent4 30" xfId="541"/>
    <cellStyle name="40% - Accent4 31" xfId="555"/>
    <cellStyle name="40% - Accent4 32" xfId="569"/>
    <cellStyle name="40% - Accent4 33" xfId="583"/>
    <cellStyle name="40% - Accent4 34" xfId="597"/>
    <cellStyle name="40% - Accent4 4" xfId="150"/>
    <cellStyle name="40% - Accent4 5" xfId="164"/>
    <cellStyle name="40% - Accent4 6" xfId="178"/>
    <cellStyle name="40% - Accent4 7" xfId="192"/>
    <cellStyle name="40% - Accent4 8" xfId="206"/>
    <cellStyle name="40% - Accent4 9" xfId="220"/>
    <cellStyle name="40% - Accent5" xfId="11" builtinId="47" customBuiltin="1"/>
    <cellStyle name="40% - Accent5 10" xfId="236"/>
    <cellStyle name="40% - Accent5 11" xfId="250"/>
    <cellStyle name="40% - Accent5 12" xfId="288"/>
    <cellStyle name="40% - Accent5 13" xfId="305"/>
    <cellStyle name="40% - Accent5 14" xfId="319"/>
    <cellStyle name="40% - Accent5 15" xfId="333"/>
    <cellStyle name="40% - Accent5 16" xfId="347"/>
    <cellStyle name="40% - Accent5 17" xfId="361"/>
    <cellStyle name="40% - Accent5 18" xfId="375"/>
    <cellStyle name="40% - Accent5 19" xfId="389"/>
    <cellStyle name="40% - Accent5 2" xfId="124"/>
    <cellStyle name="40% - Accent5 20" xfId="403"/>
    <cellStyle name="40% - Accent5 21" xfId="417"/>
    <cellStyle name="40% - Accent5 22" xfId="431"/>
    <cellStyle name="40% - Accent5 23" xfId="445"/>
    <cellStyle name="40% - Accent5 24" xfId="459"/>
    <cellStyle name="40% - Accent5 25" xfId="473"/>
    <cellStyle name="40% - Accent5 26" xfId="487"/>
    <cellStyle name="40% - Accent5 27" xfId="501"/>
    <cellStyle name="40% - Accent5 28" xfId="515"/>
    <cellStyle name="40% - Accent5 29" xfId="529"/>
    <cellStyle name="40% - Accent5 3" xfId="138"/>
    <cellStyle name="40% - Accent5 30" xfId="543"/>
    <cellStyle name="40% - Accent5 31" xfId="557"/>
    <cellStyle name="40% - Accent5 32" xfId="571"/>
    <cellStyle name="40% - Accent5 33" xfId="585"/>
    <cellStyle name="40% - Accent5 34" xfId="599"/>
    <cellStyle name="40% - Accent5 4" xfId="152"/>
    <cellStyle name="40% - Accent5 5" xfId="166"/>
    <cellStyle name="40% - Accent5 6" xfId="180"/>
    <cellStyle name="40% - Accent5 7" xfId="194"/>
    <cellStyle name="40% - Accent5 8" xfId="208"/>
    <cellStyle name="40% - Accent5 9" xfId="222"/>
    <cellStyle name="40% - Accent6" xfId="12" builtinId="51" customBuiltin="1"/>
    <cellStyle name="40% - Accent6 10" xfId="238"/>
    <cellStyle name="40% - Accent6 11" xfId="252"/>
    <cellStyle name="40% - Accent6 12" xfId="292"/>
    <cellStyle name="40% - Accent6 13" xfId="307"/>
    <cellStyle name="40% - Accent6 14" xfId="321"/>
    <cellStyle name="40% - Accent6 15" xfId="335"/>
    <cellStyle name="40% - Accent6 16" xfId="349"/>
    <cellStyle name="40% - Accent6 17" xfId="363"/>
    <cellStyle name="40% - Accent6 18" xfId="377"/>
    <cellStyle name="40% - Accent6 19" xfId="391"/>
    <cellStyle name="40% - Accent6 2" xfId="126"/>
    <cellStyle name="40% - Accent6 20" xfId="405"/>
    <cellStyle name="40% - Accent6 21" xfId="419"/>
    <cellStyle name="40% - Accent6 22" xfId="433"/>
    <cellStyle name="40% - Accent6 23" xfId="447"/>
    <cellStyle name="40% - Accent6 24" xfId="461"/>
    <cellStyle name="40% - Accent6 25" xfId="475"/>
    <cellStyle name="40% - Accent6 26" xfId="489"/>
    <cellStyle name="40% - Accent6 27" xfId="503"/>
    <cellStyle name="40% - Accent6 28" xfId="517"/>
    <cellStyle name="40% - Accent6 29" xfId="531"/>
    <cellStyle name="40% - Accent6 3" xfId="140"/>
    <cellStyle name="40% - Accent6 30" xfId="545"/>
    <cellStyle name="40% - Accent6 31" xfId="559"/>
    <cellStyle name="40% - Accent6 32" xfId="573"/>
    <cellStyle name="40% - Accent6 33" xfId="587"/>
    <cellStyle name="40% - Accent6 34" xfId="601"/>
    <cellStyle name="40% - Accent6 4" xfId="154"/>
    <cellStyle name="40% - Accent6 5" xfId="168"/>
    <cellStyle name="40% - Accent6 6" xfId="182"/>
    <cellStyle name="40% - Accent6 7" xfId="196"/>
    <cellStyle name="40% - Accent6 8" xfId="210"/>
    <cellStyle name="40% - Accent6 9" xfId="224"/>
    <cellStyle name="60% - Accent1" xfId="13" builtinId="32" customBuiltin="1"/>
    <cellStyle name="60% - Accent1 2" xfId="273"/>
    <cellStyle name="60% - Accent2" xfId="14" builtinId="36" customBuiltin="1"/>
    <cellStyle name="60% - Accent2 2" xfId="277"/>
    <cellStyle name="60% - Accent3" xfId="15" builtinId="40" customBuiltin="1"/>
    <cellStyle name="60% - Accent3 2" xfId="281"/>
    <cellStyle name="60% - Accent4" xfId="16" builtinId="44" customBuiltin="1"/>
    <cellStyle name="60% - Accent4 2" xfId="285"/>
    <cellStyle name="60% - Accent5" xfId="17" builtinId="48" customBuiltin="1"/>
    <cellStyle name="60% - Accent5 2" xfId="289"/>
    <cellStyle name="60% - Accent6" xfId="18" builtinId="52" customBuiltin="1"/>
    <cellStyle name="60% - Accent6 2" xfId="293"/>
    <cellStyle name="Accent1" xfId="19" builtinId="29" customBuiltin="1"/>
    <cellStyle name="Accent1 2" xfId="270"/>
    <cellStyle name="Accent2" xfId="20" builtinId="33" customBuiltin="1"/>
    <cellStyle name="Accent2 2" xfId="274"/>
    <cellStyle name="Accent3" xfId="21" builtinId="37" customBuiltin="1"/>
    <cellStyle name="Accent3 2" xfId="278"/>
    <cellStyle name="Accent4" xfId="22" builtinId="41" customBuiltin="1"/>
    <cellStyle name="Accent4 2" xfId="282"/>
    <cellStyle name="Accent5" xfId="23" builtinId="45" customBuiltin="1"/>
    <cellStyle name="Accent5 2" xfId="286"/>
    <cellStyle name="Accent6" xfId="24" builtinId="49" customBuiltin="1"/>
    <cellStyle name="Accent6 2" xfId="290"/>
    <cellStyle name="Bad" xfId="25" builtinId="27" customBuiltin="1"/>
    <cellStyle name="Bad 2" xfId="259"/>
    <cellStyle name="Calculation" xfId="26" builtinId="22" customBuiltin="1"/>
    <cellStyle name="Calculation 2" xfId="263"/>
    <cellStyle name="Check Cell" xfId="27" builtinId="23" customBuiltin="1"/>
    <cellStyle name="Check Cell 2" xfId="265"/>
    <cellStyle name="Explanatory Text" xfId="28" builtinId="53" customBuiltin="1"/>
    <cellStyle name="Explanatory Text 2" xfId="268"/>
    <cellStyle name="Good" xfId="29" builtinId="26" customBuiltin="1"/>
    <cellStyle name="Good 2" xfId="258"/>
    <cellStyle name="Heading 1" xfId="30" builtinId="16" customBuiltin="1"/>
    <cellStyle name="Heading 1 2" xfId="254"/>
    <cellStyle name="Heading 2" xfId="31" builtinId="17" customBuiltin="1"/>
    <cellStyle name="Heading 2 2" xfId="255"/>
    <cellStyle name="Heading 3" xfId="32" builtinId="18" customBuiltin="1"/>
    <cellStyle name="Heading 3 2" xfId="256"/>
    <cellStyle name="Heading 4" xfId="33" builtinId="19" customBuiltin="1"/>
    <cellStyle name="Heading 4 2" xfId="257"/>
    <cellStyle name="Input" xfId="34" builtinId="20" customBuiltin="1"/>
    <cellStyle name="Input 2" xfId="261"/>
    <cellStyle name="Linked Cell" xfId="35" builtinId="24" customBuiltin="1"/>
    <cellStyle name="Linked Cell 2" xfId="264"/>
    <cellStyle name="Neutral" xfId="36" builtinId="28" customBuiltin="1"/>
    <cellStyle name="Neutral 2" xfId="260"/>
    <cellStyle name="Normal" xfId="0" builtinId="0"/>
    <cellStyle name="Normal 10" xfId="225"/>
    <cellStyle name="Normal 11" xfId="239"/>
    <cellStyle name="Normal 12" xfId="253"/>
    <cellStyle name="Normal 13" xfId="294"/>
    <cellStyle name="Normal 14" xfId="308"/>
    <cellStyle name="Normal 15" xfId="322"/>
    <cellStyle name="Normal 16" xfId="336"/>
    <cellStyle name="Normal 17" xfId="350"/>
    <cellStyle name="Normal 18" xfId="364"/>
    <cellStyle name="Normal 19" xfId="378"/>
    <cellStyle name="Normal 2" xfId="113"/>
    <cellStyle name="Normal 20" xfId="392"/>
    <cellStyle name="Normal 21" xfId="406"/>
    <cellStyle name="Normal 22" xfId="420"/>
    <cellStyle name="Normal 23" xfId="434"/>
    <cellStyle name="Normal 24" xfId="448"/>
    <cellStyle name="Normal 25" xfId="462"/>
    <cellStyle name="Normal 26" xfId="476"/>
    <cellStyle name="Normal 27" xfId="490"/>
    <cellStyle name="Normal 28" xfId="504"/>
    <cellStyle name="Normal 29" xfId="518"/>
    <cellStyle name="Normal 3" xfId="127"/>
    <cellStyle name="Normal 30" xfId="37"/>
    <cellStyle name="Normal 31" xfId="38"/>
    <cellStyle name="Normal 32" xfId="532"/>
    <cellStyle name="Normal 33" xfId="546"/>
    <cellStyle name="Normal 34" xfId="560"/>
    <cellStyle name="Normal 35" xfId="574"/>
    <cellStyle name="Normal 36" xfId="588"/>
    <cellStyle name="Normal 4" xfId="141"/>
    <cellStyle name="Normal 5" xfId="155"/>
    <cellStyle name="Normal 53" xfId="39"/>
    <cellStyle name="Normal 58" xfId="40"/>
    <cellStyle name="Normal 59" xfId="41"/>
    <cellStyle name="Normal 6" xfId="169"/>
    <cellStyle name="Normal 61" xfId="42"/>
    <cellStyle name="Normal 66" xfId="43"/>
    <cellStyle name="Normal 7" xfId="183"/>
    <cellStyle name="Normal 8" xfId="197"/>
    <cellStyle name="Normal 9" xfId="211"/>
    <cellStyle name="Note 10" xfId="44"/>
    <cellStyle name="Note 11" xfId="45"/>
    <cellStyle name="Note 12" xfId="46"/>
    <cellStyle name="Note 13" xfId="47"/>
    <cellStyle name="Note 14" xfId="48"/>
    <cellStyle name="Note 15" xfId="49"/>
    <cellStyle name="Note 16" xfId="50"/>
    <cellStyle name="Note 17" xfId="51"/>
    <cellStyle name="Note 18" xfId="52"/>
    <cellStyle name="Note 19" xfId="53"/>
    <cellStyle name="Note 2" xfId="54"/>
    <cellStyle name="Note 20" xfId="55"/>
    <cellStyle name="Note 21" xfId="56"/>
    <cellStyle name="Note 22" xfId="57"/>
    <cellStyle name="Note 23" xfId="58"/>
    <cellStyle name="Note 24" xfId="59"/>
    <cellStyle name="Note 25" xfId="60"/>
    <cellStyle name="Note 26" xfId="61"/>
    <cellStyle name="Note 27" xfId="62"/>
    <cellStyle name="Note 28" xfId="63"/>
    <cellStyle name="Note 29" xfId="64"/>
    <cellStyle name="Note 3" xfId="65"/>
    <cellStyle name="Note 30" xfId="66"/>
    <cellStyle name="Note 31" xfId="67"/>
    <cellStyle name="Note 32" xfId="68"/>
    <cellStyle name="Note 33" xfId="69"/>
    <cellStyle name="Note 34" xfId="70"/>
    <cellStyle name="Note 35" xfId="71"/>
    <cellStyle name="Note 36" xfId="72"/>
    <cellStyle name="Note 37" xfId="73"/>
    <cellStyle name="Note 38" xfId="74"/>
    <cellStyle name="Note 39" xfId="75"/>
    <cellStyle name="Note 4" xfId="76"/>
    <cellStyle name="Note 40" xfId="77"/>
    <cellStyle name="Note 41" xfId="78"/>
    <cellStyle name="Note 42" xfId="79"/>
    <cellStyle name="Note 43" xfId="80"/>
    <cellStyle name="Note 44" xfId="81"/>
    <cellStyle name="Note 45" xfId="82"/>
    <cellStyle name="Note 46" xfId="83"/>
    <cellStyle name="Note 47" xfId="84"/>
    <cellStyle name="Note 48" xfId="85"/>
    <cellStyle name="Note 49" xfId="86"/>
    <cellStyle name="Note 5" xfId="87"/>
    <cellStyle name="Note 50" xfId="88"/>
    <cellStyle name="Note 51" xfId="89"/>
    <cellStyle name="Note 52" xfId="90"/>
    <cellStyle name="Note 53" xfId="91"/>
    <cellStyle name="Note 54" xfId="92"/>
    <cellStyle name="Note 55" xfId="93"/>
    <cellStyle name="Note 56" xfId="94"/>
    <cellStyle name="Note 57" xfId="95"/>
    <cellStyle name="Note 58" xfId="96"/>
    <cellStyle name="Note 59" xfId="97"/>
    <cellStyle name="Note 6" xfId="98"/>
    <cellStyle name="Note 60" xfId="99"/>
    <cellStyle name="Note 61" xfId="100"/>
    <cellStyle name="Note 62" xfId="101"/>
    <cellStyle name="Note 63" xfId="102"/>
    <cellStyle name="Note 64" xfId="103"/>
    <cellStyle name="Note 65" xfId="104"/>
    <cellStyle name="Note 66" xfId="105"/>
    <cellStyle name="Note 67" xfId="114"/>
    <cellStyle name="Note 68" xfId="128"/>
    <cellStyle name="Note 69" xfId="142"/>
    <cellStyle name="Note 7" xfId="106"/>
    <cellStyle name="Note 70" xfId="156"/>
    <cellStyle name="Note 71" xfId="170"/>
    <cellStyle name="Note 72" xfId="184"/>
    <cellStyle name="Note 73" xfId="198"/>
    <cellStyle name="Note 74" xfId="212"/>
    <cellStyle name="Note 75" xfId="226"/>
    <cellStyle name="Note 76" xfId="240"/>
    <cellStyle name="Note 77" xfId="267"/>
    <cellStyle name="Note 78" xfId="295"/>
    <cellStyle name="Note 79" xfId="309"/>
    <cellStyle name="Note 8" xfId="107"/>
    <cellStyle name="Note 80" xfId="323"/>
    <cellStyle name="Note 81" xfId="337"/>
    <cellStyle name="Note 82" xfId="351"/>
    <cellStyle name="Note 83" xfId="365"/>
    <cellStyle name="Note 84" xfId="379"/>
    <cellStyle name="Note 85" xfId="393"/>
    <cellStyle name="Note 86" xfId="407"/>
    <cellStyle name="Note 87" xfId="421"/>
    <cellStyle name="Note 88" xfId="435"/>
    <cellStyle name="Note 89" xfId="449"/>
    <cellStyle name="Note 9" xfId="108"/>
    <cellStyle name="Note 90" xfId="463"/>
    <cellStyle name="Note 91" xfId="477"/>
    <cellStyle name="Note 92" xfId="491"/>
    <cellStyle name="Note 93" xfId="505"/>
    <cellStyle name="Note 94" xfId="519"/>
    <cellStyle name="Note 95" xfId="533"/>
    <cellStyle name="Note 96" xfId="547"/>
    <cellStyle name="Note 97" xfId="561"/>
    <cellStyle name="Note 98" xfId="575"/>
    <cellStyle name="Note 99" xfId="589"/>
    <cellStyle name="Output" xfId="109" builtinId="21" customBuiltin="1"/>
    <cellStyle name="Output 2" xfId="262"/>
    <cellStyle name="Title" xfId="110" builtinId="15" customBuiltin="1"/>
    <cellStyle name="Total" xfId="111" builtinId="25" customBuiltin="1"/>
    <cellStyle name="Total 2" xfId="269"/>
    <cellStyle name="Warning Text" xfId="112" builtinId="11" customBuiltin="1"/>
    <cellStyle name="Warning Text 2" xfId="26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2"/>
  <sheetViews>
    <sheetView tabSelected="1" zoomScale="80" zoomScaleNormal="80" zoomScaleSheetLayoutView="80" zoomScalePageLayoutView="70" workbookViewId="0"/>
  </sheetViews>
  <sheetFormatPr defaultColWidth="9.140625" defaultRowHeight="15" x14ac:dyDescent="0.2"/>
  <cols>
    <col min="1" max="1" width="15.42578125" style="1" customWidth="1"/>
    <col min="2" max="2" width="10.5703125" style="2" bestFit="1" customWidth="1"/>
    <col min="3" max="4" width="10.5703125" style="2" customWidth="1"/>
    <col min="5" max="6" width="14" style="3" customWidth="1"/>
    <col min="7" max="7" width="34" style="1" customWidth="1"/>
    <col min="8" max="8" width="30.140625" style="5" customWidth="1"/>
    <col min="9" max="9" width="15" style="21" customWidth="1"/>
    <col min="10" max="10" width="14.140625" style="21" customWidth="1"/>
    <col min="11" max="11" width="14.42578125" style="21" customWidth="1"/>
    <col min="12" max="12" width="17" style="21" customWidth="1"/>
    <col min="13" max="16384" width="9.140625" style="1"/>
  </cols>
  <sheetData>
    <row r="1" spans="1:12" ht="30" customHeight="1" x14ac:dyDescent="0.2">
      <c r="A1" s="10" t="s">
        <v>39</v>
      </c>
      <c r="B1" s="11" t="s">
        <v>36</v>
      </c>
      <c r="C1" s="11" t="s">
        <v>28</v>
      </c>
      <c r="D1" s="11" t="s">
        <v>149</v>
      </c>
      <c r="E1" s="12" t="s">
        <v>1</v>
      </c>
      <c r="F1" s="12" t="s">
        <v>17</v>
      </c>
      <c r="G1" s="13" t="s">
        <v>40</v>
      </c>
      <c r="H1" s="14" t="s">
        <v>38</v>
      </c>
      <c r="I1" s="20" t="s">
        <v>27</v>
      </c>
      <c r="J1" s="20" t="s">
        <v>26</v>
      </c>
      <c r="K1" s="20" t="s">
        <v>31</v>
      </c>
      <c r="L1" s="20" t="s">
        <v>41</v>
      </c>
    </row>
    <row r="2" spans="1:12" s="4" customFormat="1" ht="30" customHeight="1" x14ac:dyDescent="0.25">
      <c r="A2" s="23"/>
      <c r="B2" s="7"/>
      <c r="C2" s="7"/>
      <c r="D2" s="7"/>
      <c r="E2" s="7"/>
      <c r="F2" s="7"/>
      <c r="G2" s="27" t="s">
        <v>237</v>
      </c>
      <c r="H2" s="24"/>
      <c r="I2" s="24"/>
      <c r="J2" s="24"/>
      <c r="K2" s="24"/>
      <c r="L2" s="24"/>
    </row>
    <row r="3" spans="1:12" s="28" customFormat="1" ht="15" customHeight="1" x14ac:dyDescent="0.2">
      <c r="A3" s="28" t="str">
        <f t="shared" ref="A3:A50" si="0">LOOKUP(B3,$B$110:$B$126,$C$110:$C$126)</f>
        <v>Thorne Bay</v>
      </c>
      <c r="B3" s="73">
        <v>100554</v>
      </c>
      <c r="C3" s="74" t="s">
        <v>148</v>
      </c>
      <c r="D3" s="73" t="s">
        <v>189</v>
      </c>
      <c r="E3" s="75">
        <v>42136</v>
      </c>
      <c r="F3" s="75">
        <v>42509</v>
      </c>
      <c r="G3" s="70" t="s">
        <v>146</v>
      </c>
      <c r="H3" s="70" t="s">
        <v>147</v>
      </c>
      <c r="I3" s="76">
        <v>17</v>
      </c>
      <c r="J3" s="76">
        <v>17</v>
      </c>
      <c r="K3" s="76">
        <v>0</v>
      </c>
      <c r="L3" s="77">
        <v>0</v>
      </c>
    </row>
    <row r="4" spans="1:12" s="28" customFormat="1" ht="15" customHeight="1" x14ac:dyDescent="0.2">
      <c r="A4" s="28" t="str">
        <f t="shared" si="0"/>
        <v>Thorne Bay</v>
      </c>
      <c r="B4" s="73">
        <v>100554</v>
      </c>
      <c r="C4" s="74" t="s">
        <v>164</v>
      </c>
      <c r="D4" s="73">
        <v>4</v>
      </c>
      <c r="E4" s="75">
        <v>42220</v>
      </c>
      <c r="F4" s="75">
        <v>42596</v>
      </c>
      <c r="G4" s="70" t="s">
        <v>146</v>
      </c>
      <c r="H4" s="70" t="s">
        <v>163</v>
      </c>
      <c r="I4" s="76">
        <v>9</v>
      </c>
      <c r="J4" s="76">
        <v>9</v>
      </c>
      <c r="K4" s="76">
        <v>0</v>
      </c>
      <c r="L4" s="77">
        <v>0</v>
      </c>
    </row>
    <row r="5" spans="1:12" s="28" customFormat="1" ht="15" customHeight="1" x14ac:dyDescent="0.2">
      <c r="A5" s="28" t="str">
        <f t="shared" si="0"/>
        <v>Thorne Bay</v>
      </c>
      <c r="B5" s="73">
        <v>100554</v>
      </c>
      <c r="C5" s="74" t="s">
        <v>183</v>
      </c>
      <c r="D5" s="73">
        <v>4</v>
      </c>
      <c r="E5" s="75">
        <v>42325</v>
      </c>
      <c r="F5" s="75">
        <v>42701</v>
      </c>
      <c r="G5" s="70" t="s">
        <v>146</v>
      </c>
      <c r="H5" s="70" t="s">
        <v>181</v>
      </c>
      <c r="I5" s="76">
        <v>7</v>
      </c>
      <c r="J5" s="76">
        <v>0</v>
      </c>
      <c r="K5" s="76">
        <v>7</v>
      </c>
      <c r="L5" s="77">
        <v>767.83</v>
      </c>
    </row>
    <row r="6" spans="1:12" s="28" customFormat="1" ht="15" customHeight="1" x14ac:dyDescent="0.2">
      <c r="A6" s="28" t="str">
        <f t="shared" si="0"/>
        <v>Thorne Bay</v>
      </c>
      <c r="B6" s="73">
        <v>100554</v>
      </c>
      <c r="C6" s="74" t="s">
        <v>190</v>
      </c>
      <c r="D6" s="73" t="s">
        <v>189</v>
      </c>
      <c r="E6" s="75">
        <v>42430</v>
      </c>
      <c r="F6" s="75">
        <v>42805</v>
      </c>
      <c r="G6" s="70" t="s">
        <v>146</v>
      </c>
      <c r="H6" s="70" t="s">
        <v>188</v>
      </c>
      <c r="I6" s="76">
        <v>6</v>
      </c>
      <c r="J6" s="76">
        <v>0</v>
      </c>
      <c r="K6" s="76">
        <v>6</v>
      </c>
      <c r="L6" s="77">
        <v>804.28</v>
      </c>
    </row>
    <row r="7" spans="1:12" s="28" customFormat="1" ht="15" customHeight="1" x14ac:dyDescent="0.2">
      <c r="A7" s="28" t="str">
        <f t="shared" si="0"/>
        <v>Thorne Bay</v>
      </c>
      <c r="B7" s="73">
        <v>100554</v>
      </c>
      <c r="C7" s="74" t="s">
        <v>197</v>
      </c>
      <c r="D7" s="73" t="s">
        <v>189</v>
      </c>
      <c r="E7" s="75">
        <v>42472</v>
      </c>
      <c r="F7" s="75">
        <v>42845</v>
      </c>
      <c r="G7" s="70" t="s">
        <v>146</v>
      </c>
      <c r="H7" s="70" t="s">
        <v>194</v>
      </c>
      <c r="I7" s="76">
        <v>12.67</v>
      </c>
      <c r="J7" s="76">
        <v>0</v>
      </c>
      <c r="K7" s="76">
        <v>12.67</v>
      </c>
      <c r="L7" s="77">
        <v>920.39</v>
      </c>
    </row>
    <row r="8" spans="1:12" s="28" customFormat="1" ht="15" customHeight="1" x14ac:dyDescent="0.2">
      <c r="A8" s="28" t="str">
        <f t="shared" si="0"/>
        <v>Thorne Bay</v>
      </c>
      <c r="B8" s="73">
        <v>100554</v>
      </c>
      <c r="C8" s="74" t="s">
        <v>205</v>
      </c>
      <c r="D8" s="73" t="s">
        <v>189</v>
      </c>
      <c r="E8" s="75">
        <v>42493</v>
      </c>
      <c r="F8" s="75">
        <v>42865</v>
      </c>
      <c r="G8" s="70" t="s">
        <v>146</v>
      </c>
      <c r="H8" s="70" t="s">
        <v>201</v>
      </c>
      <c r="I8" s="76">
        <v>5.56</v>
      </c>
      <c r="J8" s="76">
        <v>5.56</v>
      </c>
      <c r="K8" s="76">
        <v>0</v>
      </c>
      <c r="L8" s="77">
        <v>0</v>
      </c>
    </row>
    <row r="9" spans="1:12" s="28" customFormat="1" ht="15" customHeight="1" x14ac:dyDescent="0.2">
      <c r="A9" s="28" t="str">
        <f t="shared" si="0"/>
        <v>Thorne Bay</v>
      </c>
      <c r="B9" s="73">
        <v>100554</v>
      </c>
      <c r="C9" s="74" t="s">
        <v>263</v>
      </c>
      <c r="D9" s="73" t="s">
        <v>189</v>
      </c>
      <c r="E9" s="75">
        <v>42591</v>
      </c>
      <c r="F9" s="75">
        <v>42962</v>
      </c>
      <c r="G9" s="70" t="s">
        <v>146</v>
      </c>
      <c r="H9" s="70" t="s">
        <v>255</v>
      </c>
      <c r="I9" s="76">
        <v>20.69</v>
      </c>
      <c r="J9" s="76">
        <v>0</v>
      </c>
      <c r="K9" s="76">
        <v>20.69</v>
      </c>
      <c r="L9" s="77">
        <v>1965.25</v>
      </c>
    </row>
    <row r="10" spans="1:12" s="28" customFormat="1" ht="15" customHeight="1" x14ac:dyDescent="0.2">
      <c r="A10" s="28" t="str">
        <f t="shared" si="0"/>
        <v>Thorne Bay</v>
      </c>
      <c r="B10" s="73">
        <v>100554</v>
      </c>
      <c r="C10" s="74" t="s">
        <v>264</v>
      </c>
      <c r="D10" s="73" t="s">
        <v>189</v>
      </c>
      <c r="E10" s="75">
        <v>42612</v>
      </c>
      <c r="F10" s="75">
        <v>42983</v>
      </c>
      <c r="G10" s="70" t="s">
        <v>146</v>
      </c>
      <c r="H10" s="70" t="s">
        <v>257</v>
      </c>
      <c r="I10" s="76">
        <v>24.42</v>
      </c>
      <c r="J10" s="76">
        <v>0</v>
      </c>
      <c r="K10" s="76">
        <v>24.42</v>
      </c>
      <c r="L10" s="77">
        <v>2132.7199999999998</v>
      </c>
    </row>
    <row r="11" spans="1:12" s="28" customFormat="1" ht="15" customHeight="1" x14ac:dyDescent="0.2">
      <c r="A11" s="28" t="str">
        <f t="shared" si="0"/>
        <v>Thorne Bay</v>
      </c>
      <c r="B11" s="73">
        <v>100554</v>
      </c>
      <c r="C11" s="74" t="s">
        <v>265</v>
      </c>
      <c r="D11" s="73" t="s">
        <v>189</v>
      </c>
      <c r="E11" s="75">
        <v>42612</v>
      </c>
      <c r="F11" s="75">
        <v>42983</v>
      </c>
      <c r="G11" s="70" t="s">
        <v>146</v>
      </c>
      <c r="H11" s="70" t="s">
        <v>256</v>
      </c>
      <c r="I11" s="76">
        <v>9.56</v>
      </c>
      <c r="J11" s="76">
        <v>0</v>
      </c>
      <c r="K11" s="76">
        <v>9.56</v>
      </c>
      <c r="L11" s="77">
        <v>840.96</v>
      </c>
    </row>
    <row r="12" spans="1:12" s="28" customFormat="1" ht="15" customHeight="1" x14ac:dyDescent="0.2">
      <c r="A12" s="28" t="str">
        <f t="shared" si="0"/>
        <v>Thorne Bay</v>
      </c>
      <c r="B12" s="73">
        <v>100554</v>
      </c>
      <c r="C12" s="74" t="s">
        <v>234</v>
      </c>
      <c r="D12" s="73" t="s">
        <v>189</v>
      </c>
      <c r="E12" s="75">
        <v>42500</v>
      </c>
      <c r="F12" s="75">
        <v>42870</v>
      </c>
      <c r="G12" s="70" t="s">
        <v>210</v>
      </c>
      <c r="H12" s="70" t="s">
        <v>211</v>
      </c>
      <c r="I12" s="76">
        <v>32.07</v>
      </c>
      <c r="J12" s="76">
        <v>0</v>
      </c>
      <c r="K12" s="76">
        <v>32.07</v>
      </c>
      <c r="L12" s="77">
        <v>1883.84</v>
      </c>
    </row>
    <row r="13" spans="1:12" s="28" customFormat="1" ht="15" customHeight="1" x14ac:dyDescent="0.2">
      <c r="A13" s="28" t="str">
        <f t="shared" si="0"/>
        <v>Thorne Bay</v>
      </c>
      <c r="B13" s="73">
        <v>100554</v>
      </c>
      <c r="C13" s="74" t="s">
        <v>266</v>
      </c>
      <c r="D13" s="73" t="s">
        <v>189</v>
      </c>
      <c r="E13" s="75">
        <v>42605</v>
      </c>
      <c r="F13" s="75">
        <v>42977</v>
      </c>
      <c r="G13" s="70" t="s">
        <v>210</v>
      </c>
      <c r="H13" s="70" t="s">
        <v>258</v>
      </c>
      <c r="I13" s="76">
        <v>19.53</v>
      </c>
      <c r="J13" s="76">
        <v>0</v>
      </c>
      <c r="K13" s="76">
        <v>19.53</v>
      </c>
      <c r="L13" s="77">
        <v>1052.21</v>
      </c>
    </row>
    <row r="14" spans="1:12" s="28" customFormat="1" ht="15" customHeight="1" x14ac:dyDescent="0.2">
      <c r="A14" s="28" t="str">
        <f t="shared" si="0"/>
        <v>Wrangell</v>
      </c>
      <c r="B14" s="73">
        <v>100522</v>
      </c>
      <c r="C14" s="74" t="s">
        <v>59</v>
      </c>
      <c r="D14" s="73">
        <v>13</v>
      </c>
      <c r="E14" s="75">
        <v>40799</v>
      </c>
      <c r="F14" s="75">
        <v>42879</v>
      </c>
      <c r="G14" s="28" t="s">
        <v>5</v>
      </c>
      <c r="H14" s="30" t="s">
        <v>54</v>
      </c>
      <c r="I14" s="76">
        <v>25812</v>
      </c>
      <c r="J14" s="76">
        <v>12139.09</v>
      </c>
      <c r="K14" s="76">
        <v>13672.91</v>
      </c>
      <c r="L14" s="77">
        <v>610744.71</v>
      </c>
    </row>
    <row r="15" spans="1:12" s="28" customFormat="1" ht="15" customHeight="1" x14ac:dyDescent="0.2">
      <c r="A15" s="28" t="str">
        <f t="shared" si="0"/>
        <v>Thorne Bay</v>
      </c>
      <c r="B15" s="73">
        <v>100554</v>
      </c>
      <c r="C15" s="74" t="s">
        <v>60</v>
      </c>
      <c r="D15" s="73">
        <v>13</v>
      </c>
      <c r="E15" s="75">
        <v>40805</v>
      </c>
      <c r="F15" s="75">
        <v>42674</v>
      </c>
      <c r="G15" s="28" t="s">
        <v>5</v>
      </c>
      <c r="H15" s="30" t="s">
        <v>55</v>
      </c>
      <c r="I15" s="76">
        <v>8605.17</v>
      </c>
      <c r="J15" s="76">
        <v>7752.76</v>
      </c>
      <c r="K15" s="76">
        <v>852.41</v>
      </c>
      <c r="L15" s="77">
        <v>12564.52</v>
      </c>
    </row>
    <row r="16" spans="1:12" s="28" customFormat="1" ht="15" customHeight="1" x14ac:dyDescent="0.2">
      <c r="A16" s="28" t="str">
        <f t="shared" si="0"/>
        <v>Wrangell</v>
      </c>
      <c r="B16" s="73">
        <v>100522</v>
      </c>
      <c r="C16" s="74" t="s">
        <v>61</v>
      </c>
      <c r="D16" s="73">
        <v>6</v>
      </c>
      <c r="E16" s="75">
        <v>38657</v>
      </c>
      <c r="F16" s="75">
        <v>42500</v>
      </c>
      <c r="G16" s="28" t="s">
        <v>5</v>
      </c>
      <c r="H16" s="28" t="s">
        <v>29</v>
      </c>
      <c r="I16" s="76">
        <v>18652.259999999998</v>
      </c>
      <c r="J16" s="76">
        <v>15644.96</v>
      </c>
      <c r="K16" s="76">
        <v>3007.3</v>
      </c>
      <c r="L16" s="77">
        <v>23874.880000000001</v>
      </c>
    </row>
    <row r="17" spans="1:12" s="28" customFormat="1" ht="15" customHeight="1" x14ac:dyDescent="0.2">
      <c r="A17" s="28" t="str">
        <f t="shared" si="0"/>
        <v>Wrangell</v>
      </c>
      <c r="B17" s="73">
        <v>100522</v>
      </c>
      <c r="C17" s="74" t="s">
        <v>91</v>
      </c>
      <c r="D17" s="73">
        <v>6</v>
      </c>
      <c r="E17" s="75">
        <v>41380</v>
      </c>
      <c r="F17" s="75">
        <v>42674</v>
      </c>
      <c r="G17" s="28" t="s">
        <v>5</v>
      </c>
      <c r="H17" s="28" t="s">
        <v>90</v>
      </c>
      <c r="I17" s="76">
        <v>3452</v>
      </c>
      <c r="J17" s="76">
        <v>2711.59</v>
      </c>
      <c r="K17" s="76">
        <v>740.41</v>
      </c>
      <c r="L17" s="77">
        <v>7723.07</v>
      </c>
    </row>
    <row r="18" spans="1:12" s="28" customFormat="1" ht="15" customHeight="1" x14ac:dyDescent="0.2">
      <c r="A18" s="28" t="str">
        <f t="shared" si="0"/>
        <v>Thorne Bay</v>
      </c>
      <c r="B18" s="73">
        <v>100554</v>
      </c>
      <c r="C18" s="74" t="s">
        <v>172</v>
      </c>
      <c r="D18" s="73">
        <v>6</v>
      </c>
      <c r="E18" s="75">
        <v>42262</v>
      </c>
      <c r="F18" s="75">
        <v>44499</v>
      </c>
      <c r="G18" s="70" t="s">
        <v>165</v>
      </c>
      <c r="H18" s="70" t="s">
        <v>166</v>
      </c>
      <c r="I18" s="76">
        <v>3911</v>
      </c>
      <c r="J18" s="76">
        <v>0</v>
      </c>
      <c r="K18" s="76">
        <v>3911</v>
      </c>
      <c r="L18" s="77">
        <v>442529.89</v>
      </c>
    </row>
    <row r="19" spans="1:12" s="28" customFormat="1" ht="15" customHeight="1" x14ac:dyDescent="0.2">
      <c r="A19" s="28" t="str">
        <f t="shared" si="0"/>
        <v>Thorne Bay</v>
      </c>
      <c r="B19" s="73">
        <v>100554</v>
      </c>
      <c r="C19" s="74" t="s">
        <v>144</v>
      </c>
      <c r="D19" s="73">
        <v>6</v>
      </c>
      <c r="E19" s="75">
        <v>41947</v>
      </c>
      <c r="F19" s="75">
        <v>43807</v>
      </c>
      <c r="G19" s="28" t="s">
        <v>140</v>
      </c>
      <c r="H19" s="28" t="s">
        <v>139</v>
      </c>
      <c r="I19" s="76">
        <v>2274</v>
      </c>
      <c r="J19" s="76">
        <v>0</v>
      </c>
      <c r="K19" s="76">
        <v>2274</v>
      </c>
      <c r="L19" s="77">
        <v>461124.53</v>
      </c>
    </row>
    <row r="20" spans="1:12" s="28" customFormat="1" ht="15" customHeight="1" x14ac:dyDescent="0.2">
      <c r="A20" s="28" t="str">
        <f t="shared" si="0"/>
        <v>Thorne Bay</v>
      </c>
      <c r="B20" s="73">
        <v>100554</v>
      </c>
      <c r="C20" s="74" t="s">
        <v>267</v>
      </c>
      <c r="D20" s="73" t="s">
        <v>189</v>
      </c>
      <c r="E20" s="75">
        <v>42570</v>
      </c>
      <c r="F20" s="75">
        <v>42941</v>
      </c>
      <c r="G20" s="28" t="s">
        <v>272</v>
      </c>
      <c r="H20" s="70" t="s">
        <v>273</v>
      </c>
      <c r="I20" s="76">
        <v>5.96</v>
      </c>
      <c r="J20" s="76">
        <v>0</v>
      </c>
      <c r="K20" s="76">
        <v>5.96</v>
      </c>
      <c r="L20" s="77">
        <v>325</v>
      </c>
    </row>
    <row r="21" spans="1:12" s="28" customFormat="1" ht="15" customHeight="1" x14ac:dyDescent="0.2">
      <c r="A21" s="28" t="str">
        <f t="shared" si="0"/>
        <v>Sitka</v>
      </c>
      <c r="B21" s="73">
        <v>100531</v>
      </c>
      <c r="C21" s="74" t="s">
        <v>94</v>
      </c>
      <c r="D21" s="73" t="s">
        <v>153</v>
      </c>
      <c r="E21" s="75">
        <v>41445</v>
      </c>
      <c r="F21" s="75">
        <v>43921</v>
      </c>
      <c r="G21" s="33" t="s">
        <v>92</v>
      </c>
      <c r="H21" s="33" t="s">
        <v>93</v>
      </c>
      <c r="I21" s="76">
        <v>7582</v>
      </c>
      <c r="J21" s="76">
        <v>7582</v>
      </c>
      <c r="K21" s="76">
        <v>0</v>
      </c>
      <c r="L21" s="77">
        <v>0</v>
      </c>
    </row>
    <row r="22" spans="1:12" s="28" customFormat="1" ht="15" customHeight="1" x14ac:dyDescent="0.2">
      <c r="A22" s="28" t="str">
        <f t="shared" si="0"/>
        <v>Thorne Bay</v>
      </c>
      <c r="B22" s="73">
        <v>100554</v>
      </c>
      <c r="C22" s="74" t="s">
        <v>62</v>
      </c>
      <c r="D22" s="73" t="s">
        <v>189</v>
      </c>
      <c r="E22" s="75">
        <v>40722</v>
      </c>
      <c r="F22" s="75">
        <v>41117</v>
      </c>
      <c r="G22" s="34" t="s">
        <v>42</v>
      </c>
      <c r="H22" s="34" t="s">
        <v>53</v>
      </c>
      <c r="I22" s="76">
        <v>12</v>
      </c>
      <c r="J22" s="76">
        <v>0</v>
      </c>
      <c r="K22" s="76">
        <v>12</v>
      </c>
      <c r="L22" s="77">
        <v>1512.73</v>
      </c>
    </row>
    <row r="23" spans="1:12" s="28" customFormat="1" ht="15" customHeight="1" x14ac:dyDescent="0.2">
      <c r="A23" s="28" t="str">
        <f t="shared" si="0"/>
        <v>Hoonah</v>
      </c>
      <c r="B23" s="73">
        <v>100532</v>
      </c>
      <c r="C23" s="74" t="s">
        <v>109</v>
      </c>
      <c r="D23" s="73" t="s">
        <v>153</v>
      </c>
      <c r="E23" s="75">
        <v>41772</v>
      </c>
      <c r="F23" s="75">
        <v>43008</v>
      </c>
      <c r="G23" s="33" t="s">
        <v>85</v>
      </c>
      <c r="H23" s="31" t="s">
        <v>107</v>
      </c>
      <c r="I23" s="76">
        <v>77</v>
      </c>
      <c r="J23" s="76">
        <v>0</v>
      </c>
      <c r="K23" s="76">
        <v>77</v>
      </c>
      <c r="L23" s="77">
        <v>3280.71</v>
      </c>
    </row>
    <row r="24" spans="1:12" s="28" customFormat="1" ht="15" customHeight="1" x14ac:dyDescent="0.2">
      <c r="A24" s="28" t="str">
        <f t="shared" si="0"/>
        <v>Thorne Bay</v>
      </c>
      <c r="B24" s="73">
        <v>100554</v>
      </c>
      <c r="C24" s="74" t="s">
        <v>198</v>
      </c>
      <c r="D24" s="73" t="s">
        <v>189</v>
      </c>
      <c r="E24" s="75">
        <v>42465</v>
      </c>
      <c r="F24" s="75">
        <v>42840</v>
      </c>
      <c r="G24" s="33" t="s">
        <v>195</v>
      </c>
      <c r="H24" s="70" t="s">
        <v>196</v>
      </c>
      <c r="I24" s="76">
        <v>20.81</v>
      </c>
      <c r="J24" s="76">
        <v>0</v>
      </c>
      <c r="K24" s="76">
        <v>20.81</v>
      </c>
      <c r="L24" s="77">
        <v>1126.45</v>
      </c>
    </row>
    <row r="25" spans="1:12" s="28" customFormat="1" ht="15" customHeight="1" x14ac:dyDescent="0.2">
      <c r="A25" s="28" t="str">
        <f t="shared" si="0"/>
        <v>Juneau</v>
      </c>
      <c r="B25" s="73">
        <v>100533</v>
      </c>
      <c r="C25" s="74" t="s">
        <v>63</v>
      </c>
      <c r="D25" s="73" t="s">
        <v>153</v>
      </c>
      <c r="E25" s="75">
        <v>39778</v>
      </c>
      <c r="F25" s="75">
        <v>43039</v>
      </c>
      <c r="G25" s="34" t="s">
        <v>47</v>
      </c>
      <c r="H25" s="34" t="s">
        <v>48</v>
      </c>
      <c r="I25" s="76">
        <v>3601</v>
      </c>
      <c r="J25" s="76">
        <v>0</v>
      </c>
      <c r="K25" s="76">
        <v>3601</v>
      </c>
      <c r="L25" s="77">
        <v>181037.1</v>
      </c>
    </row>
    <row r="26" spans="1:12" s="28" customFormat="1" ht="15" customHeight="1" x14ac:dyDescent="0.2">
      <c r="A26" s="28" t="str">
        <f t="shared" si="0"/>
        <v>Thorne Bay</v>
      </c>
      <c r="B26" s="73">
        <v>100554</v>
      </c>
      <c r="C26" s="74" t="s">
        <v>154</v>
      </c>
      <c r="D26" s="73">
        <v>6</v>
      </c>
      <c r="E26" s="75">
        <v>42164</v>
      </c>
      <c r="F26" s="75">
        <v>43039</v>
      </c>
      <c r="G26" s="28" t="s">
        <v>141</v>
      </c>
      <c r="H26" s="28" t="s">
        <v>150</v>
      </c>
      <c r="I26" s="76">
        <v>498</v>
      </c>
      <c r="J26" s="76">
        <v>31.04</v>
      </c>
      <c r="K26" s="76">
        <v>466.96</v>
      </c>
      <c r="L26" s="77">
        <v>38607.67</v>
      </c>
    </row>
    <row r="27" spans="1:12" s="28" customFormat="1" ht="15" customHeight="1" x14ac:dyDescent="0.2">
      <c r="A27" s="28" t="str">
        <f t="shared" si="0"/>
        <v>Thorne Bay</v>
      </c>
      <c r="B27" s="73">
        <v>100554</v>
      </c>
      <c r="C27" s="74" t="s">
        <v>145</v>
      </c>
      <c r="D27" s="73">
        <v>4</v>
      </c>
      <c r="E27" s="75">
        <v>42087</v>
      </c>
      <c r="F27" s="75">
        <v>42459</v>
      </c>
      <c r="G27" s="28" t="s">
        <v>141</v>
      </c>
      <c r="H27" s="28" t="s">
        <v>142</v>
      </c>
      <c r="I27" s="76">
        <v>15.5</v>
      </c>
      <c r="J27" s="76">
        <v>15.5</v>
      </c>
      <c r="K27" s="76">
        <v>0</v>
      </c>
      <c r="L27" s="77">
        <v>0</v>
      </c>
    </row>
    <row r="28" spans="1:12" s="28" customFormat="1" ht="15" customHeight="1" x14ac:dyDescent="0.2">
      <c r="A28" s="28" t="str">
        <f t="shared" si="0"/>
        <v>Sitka</v>
      </c>
      <c r="B28" s="73">
        <v>100531</v>
      </c>
      <c r="C28" s="74" t="s">
        <v>96</v>
      </c>
      <c r="D28" s="73" t="s">
        <v>153</v>
      </c>
      <c r="E28" s="75">
        <v>41471</v>
      </c>
      <c r="F28" s="75">
        <v>42674</v>
      </c>
      <c r="G28" s="28" t="s">
        <v>86</v>
      </c>
      <c r="H28" s="28" t="s">
        <v>95</v>
      </c>
      <c r="I28" s="76">
        <v>29</v>
      </c>
      <c r="J28" s="76">
        <v>19</v>
      </c>
      <c r="K28" s="76">
        <v>10</v>
      </c>
      <c r="L28" s="77">
        <v>466.21</v>
      </c>
    </row>
    <row r="29" spans="1:12" s="28" customFormat="1" ht="15" customHeight="1" x14ac:dyDescent="0.2">
      <c r="A29" s="28" t="str">
        <f t="shared" si="0"/>
        <v>Sitka</v>
      </c>
      <c r="B29" s="73">
        <v>100531</v>
      </c>
      <c r="C29" s="74" t="s">
        <v>128</v>
      </c>
      <c r="D29" s="73" t="s">
        <v>153</v>
      </c>
      <c r="E29" s="75">
        <v>41982</v>
      </c>
      <c r="F29" s="75">
        <v>43109</v>
      </c>
      <c r="G29" s="28" t="s">
        <v>86</v>
      </c>
      <c r="H29" s="28" t="s">
        <v>126</v>
      </c>
      <c r="I29" s="76">
        <v>18.28</v>
      </c>
      <c r="J29" s="76">
        <v>3.11</v>
      </c>
      <c r="K29" s="76">
        <v>15.17</v>
      </c>
      <c r="L29" s="77">
        <v>918.86</v>
      </c>
    </row>
    <row r="30" spans="1:12" s="28" customFormat="1" ht="15" customHeight="1" x14ac:dyDescent="0.2">
      <c r="A30" s="28" t="str">
        <f t="shared" si="0"/>
        <v>Thorne Bay</v>
      </c>
      <c r="B30" s="73">
        <v>100554</v>
      </c>
      <c r="C30" s="74" t="s">
        <v>64</v>
      </c>
      <c r="D30" s="73" t="s">
        <v>153</v>
      </c>
      <c r="E30" s="75">
        <v>41009</v>
      </c>
      <c r="F30" s="75">
        <v>42674</v>
      </c>
      <c r="G30" s="28" t="s">
        <v>25</v>
      </c>
      <c r="H30" s="28" t="s">
        <v>57</v>
      </c>
      <c r="I30" s="76">
        <v>625</v>
      </c>
      <c r="J30" s="76">
        <v>576</v>
      </c>
      <c r="K30" s="76">
        <v>49</v>
      </c>
      <c r="L30" s="77">
        <v>3455.79</v>
      </c>
    </row>
    <row r="31" spans="1:12" s="28" customFormat="1" ht="15" customHeight="1" x14ac:dyDescent="0.2">
      <c r="A31" s="28" t="str">
        <f t="shared" si="0"/>
        <v>Juneau</v>
      </c>
      <c r="B31" s="73">
        <v>100533</v>
      </c>
      <c r="C31" s="74" t="s">
        <v>124</v>
      </c>
      <c r="D31" s="73" t="s">
        <v>153</v>
      </c>
      <c r="E31" s="75">
        <v>41948</v>
      </c>
      <c r="F31" s="75">
        <v>44135</v>
      </c>
      <c r="G31" s="35" t="s">
        <v>46</v>
      </c>
      <c r="H31" s="36" t="s">
        <v>122</v>
      </c>
      <c r="I31" s="76">
        <v>666</v>
      </c>
      <c r="J31" s="76">
        <v>28</v>
      </c>
      <c r="K31" s="76">
        <v>638</v>
      </c>
      <c r="L31" s="77">
        <v>9273.33</v>
      </c>
    </row>
    <row r="32" spans="1:12" s="28" customFormat="1" ht="15" customHeight="1" x14ac:dyDescent="0.2">
      <c r="A32" s="28" t="str">
        <f t="shared" si="0"/>
        <v>Juneau</v>
      </c>
      <c r="B32" s="73">
        <v>100533</v>
      </c>
      <c r="C32" s="74" t="s">
        <v>110</v>
      </c>
      <c r="D32" s="73" t="s">
        <v>153</v>
      </c>
      <c r="E32" s="75">
        <v>41786</v>
      </c>
      <c r="F32" s="75">
        <v>43616</v>
      </c>
      <c r="G32" s="35" t="s">
        <v>46</v>
      </c>
      <c r="H32" s="36" t="s">
        <v>167</v>
      </c>
      <c r="I32" s="76">
        <v>158.33000000000001</v>
      </c>
      <c r="J32" s="76">
        <v>141.44999999999999</v>
      </c>
      <c r="K32" s="76">
        <v>16.88</v>
      </c>
      <c r="L32" s="77">
        <v>138.22</v>
      </c>
    </row>
    <row r="33" spans="1:12" s="28" customFormat="1" ht="15" customHeight="1" x14ac:dyDescent="0.2">
      <c r="A33" s="28" t="str">
        <f t="shared" si="0"/>
        <v>Hoonah</v>
      </c>
      <c r="B33" s="73">
        <v>100532</v>
      </c>
      <c r="C33" s="74" t="s">
        <v>98</v>
      </c>
      <c r="D33" s="73" t="s">
        <v>153</v>
      </c>
      <c r="E33" s="75">
        <v>41596</v>
      </c>
      <c r="F33" s="75">
        <v>42674</v>
      </c>
      <c r="G33" s="28" t="s">
        <v>6</v>
      </c>
      <c r="H33" s="34" t="s">
        <v>97</v>
      </c>
      <c r="I33" s="76">
        <v>83</v>
      </c>
      <c r="J33" s="76">
        <v>0</v>
      </c>
      <c r="K33" s="76">
        <v>83</v>
      </c>
      <c r="L33" s="77">
        <v>4154.2299999999996</v>
      </c>
    </row>
    <row r="34" spans="1:12" s="28" customFormat="1" ht="15" customHeight="1" x14ac:dyDescent="0.2">
      <c r="A34" s="28" t="str">
        <f t="shared" si="0"/>
        <v>Thorne Bay</v>
      </c>
      <c r="B34" s="73">
        <v>100554</v>
      </c>
      <c r="C34" s="74" t="s">
        <v>89</v>
      </c>
      <c r="D34" s="73">
        <v>6</v>
      </c>
      <c r="E34" s="75">
        <v>41345</v>
      </c>
      <c r="F34" s="75">
        <v>42674</v>
      </c>
      <c r="G34" s="28" t="s">
        <v>19</v>
      </c>
      <c r="H34" s="28" t="s">
        <v>88</v>
      </c>
      <c r="I34" s="76">
        <v>1386.75</v>
      </c>
      <c r="J34" s="76">
        <v>1383.28</v>
      </c>
      <c r="K34" s="76">
        <v>3.47</v>
      </c>
      <c r="L34" s="77">
        <v>209.76</v>
      </c>
    </row>
    <row r="35" spans="1:12" s="28" customFormat="1" ht="15" customHeight="1" x14ac:dyDescent="0.2">
      <c r="A35" s="28" t="str">
        <f t="shared" si="0"/>
        <v>Petersburg</v>
      </c>
      <c r="B35" s="73">
        <v>100521</v>
      </c>
      <c r="C35" s="74" t="s">
        <v>111</v>
      </c>
      <c r="D35" s="73" t="s">
        <v>153</v>
      </c>
      <c r="E35" s="75">
        <v>41772</v>
      </c>
      <c r="F35" s="75">
        <v>43039</v>
      </c>
      <c r="G35" s="34" t="s">
        <v>56</v>
      </c>
      <c r="H35" s="32" t="s">
        <v>108</v>
      </c>
      <c r="I35" s="76">
        <v>177</v>
      </c>
      <c r="J35" s="76">
        <v>34</v>
      </c>
      <c r="K35" s="76">
        <v>143</v>
      </c>
      <c r="L35" s="77">
        <v>1105.7</v>
      </c>
    </row>
    <row r="36" spans="1:12" s="28" customFormat="1" ht="15" customHeight="1" x14ac:dyDescent="0.2">
      <c r="A36" s="28" t="str">
        <f t="shared" si="0"/>
        <v>Craig</v>
      </c>
      <c r="B36" s="73">
        <v>100551</v>
      </c>
      <c r="C36" s="74" t="s">
        <v>121</v>
      </c>
      <c r="D36" s="73">
        <v>4</v>
      </c>
      <c r="E36" s="75">
        <v>41933</v>
      </c>
      <c r="F36" s="75">
        <v>42328</v>
      </c>
      <c r="G36" s="33" t="s">
        <v>99</v>
      </c>
      <c r="H36" s="33" t="s">
        <v>120</v>
      </c>
      <c r="I36" s="76">
        <v>16</v>
      </c>
      <c r="J36" s="76">
        <v>16</v>
      </c>
      <c r="K36" s="76">
        <v>0</v>
      </c>
      <c r="L36" s="77">
        <v>0</v>
      </c>
    </row>
    <row r="37" spans="1:12" s="28" customFormat="1" ht="15" customHeight="1" x14ac:dyDescent="0.2">
      <c r="A37" s="28" t="str">
        <f t="shared" si="0"/>
        <v>Craig</v>
      </c>
      <c r="B37" s="73">
        <v>100551</v>
      </c>
      <c r="C37" s="74" t="s">
        <v>268</v>
      </c>
      <c r="D37" s="73" t="s">
        <v>189</v>
      </c>
      <c r="E37" s="75">
        <v>42584</v>
      </c>
      <c r="F37" s="75">
        <v>42957</v>
      </c>
      <c r="G37" s="33" t="s">
        <v>99</v>
      </c>
      <c r="H37" s="33" t="s">
        <v>259</v>
      </c>
      <c r="I37" s="76">
        <v>20.43</v>
      </c>
      <c r="J37" s="76">
        <v>0</v>
      </c>
      <c r="K37" s="76">
        <v>20.43</v>
      </c>
      <c r="L37" s="77">
        <v>1300</v>
      </c>
    </row>
    <row r="38" spans="1:12" s="28" customFormat="1" ht="15" customHeight="1" x14ac:dyDescent="0.2">
      <c r="A38" s="28" t="str">
        <f t="shared" si="0"/>
        <v>Wrangell</v>
      </c>
      <c r="B38" s="73">
        <v>100522</v>
      </c>
      <c r="C38" s="74" t="s">
        <v>102</v>
      </c>
      <c r="D38" s="73" t="s">
        <v>189</v>
      </c>
      <c r="E38" s="75">
        <v>41681</v>
      </c>
      <c r="F38" s="75">
        <v>42136</v>
      </c>
      <c r="G38" s="33" t="s">
        <v>100</v>
      </c>
      <c r="H38" s="33" t="s">
        <v>101</v>
      </c>
      <c r="I38" s="76">
        <v>20.190000000000001</v>
      </c>
      <c r="J38" s="76">
        <v>17</v>
      </c>
      <c r="K38" s="76">
        <v>3.19</v>
      </c>
      <c r="L38" s="77">
        <v>270.67</v>
      </c>
    </row>
    <row r="39" spans="1:12" s="28" customFormat="1" ht="15" customHeight="1" x14ac:dyDescent="0.2">
      <c r="A39" s="28" t="str">
        <f t="shared" si="0"/>
        <v>Thorne Bay</v>
      </c>
      <c r="B39" s="73">
        <v>100554</v>
      </c>
      <c r="C39" s="74" t="s">
        <v>125</v>
      </c>
      <c r="D39" s="73" t="s">
        <v>189</v>
      </c>
      <c r="E39" s="75">
        <v>41961</v>
      </c>
      <c r="F39" s="75">
        <v>42356</v>
      </c>
      <c r="G39" s="37" t="s">
        <v>58</v>
      </c>
      <c r="H39" s="37" t="s">
        <v>123</v>
      </c>
      <c r="I39" s="76">
        <v>9</v>
      </c>
      <c r="J39" s="76">
        <v>9</v>
      </c>
      <c r="K39" s="76">
        <v>0</v>
      </c>
      <c r="L39" s="77">
        <v>0</v>
      </c>
    </row>
    <row r="40" spans="1:12" s="28" customFormat="1" ht="15" customHeight="1" x14ac:dyDescent="0.2">
      <c r="A40" s="28" t="str">
        <f t="shared" si="0"/>
        <v>Thorne Bay</v>
      </c>
      <c r="B40" s="73">
        <v>100554</v>
      </c>
      <c r="C40" s="74" t="s">
        <v>162</v>
      </c>
      <c r="D40" s="73">
        <v>6</v>
      </c>
      <c r="E40" s="75">
        <v>42185</v>
      </c>
      <c r="F40" s="75">
        <v>44042</v>
      </c>
      <c r="G40" s="71" t="s">
        <v>159</v>
      </c>
      <c r="H40" s="71" t="s">
        <v>160</v>
      </c>
      <c r="I40" s="76">
        <v>518</v>
      </c>
      <c r="J40" s="76">
        <v>0</v>
      </c>
      <c r="K40" s="76">
        <v>518</v>
      </c>
      <c r="L40" s="77">
        <v>33112.07</v>
      </c>
    </row>
    <row r="41" spans="1:12" s="28" customFormat="1" ht="15" customHeight="1" x14ac:dyDescent="0.2">
      <c r="A41" s="28" t="str">
        <f t="shared" si="0"/>
        <v>Thorne Bay</v>
      </c>
      <c r="B41" s="73">
        <v>100554</v>
      </c>
      <c r="C41" s="74" t="s">
        <v>269</v>
      </c>
      <c r="D41" s="73" t="s">
        <v>153</v>
      </c>
      <c r="E41" s="75">
        <v>42563</v>
      </c>
      <c r="F41" s="75">
        <v>43404</v>
      </c>
      <c r="G41" s="71" t="s">
        <v>159</v>
      </c>
      <c r="H41" s="71" t="s">
        <v>260</v>
      </c>
      <c r="I41" s="76">
        <v>188.79</v>
      </c>
      <c r="J41" s="76">
        <v>0</v>
      </c>
      <c r="K41" s="76">
        <v>188.79</v>
      </c>
      <c r="L41" s="77">
        <v>33041.919999999998</v>
      </c>
    </row>
    <row r="42" spans="1:12" s="28" customFormat="1" ht="15" customHeight="1" x14ac:dyDescent="0.2">
      <c r="A42" s="28" t="str">
        <f t="shared" si="0"/>
        <v>Admirality</v>
      </c>
      <c r="B42" s="73">
        <v>100534</v>
      </c>
      <c r="C42" s="74" t="s">
        <v>187</v>
      </c>
      <c r="D42" s="73" t="s">
        <v>153</v>
      </c>
      <c r="E42" s="75">
        <v>42396</v>
      </c>
      <c r="F42" s="75">
        <v>43404</v>
      </c>
      <c r="G42" s="28" t="s">
        <v>186</v>
      </c>
      <c r="H42" s="28" t="s">
        <v>185</v>
      </c>
      <c r="I42" s="76">
        <v>15.2</v>
      </c>
      <c r="J42" s="76">
        <v>0</v>
      </c>
      <c r="K42" s="76">
        <v>15.2</v>
      </c>
      <c r="L42" s="77">
        <v>436.74</v>
      </c>
    </row>
    <row r="43" spans="1:12" s="28" customFormat="1" ht="15" customHeight="1" x14ac:dyDescent="0.2">
      <c r="A43" s="28" t="str">
        <f t="shared" si="0"/>
        <v>Wrangell</v>
      </c>
      <c r="B43" s="73">
        <v>100522</v>
      </c>
      <c r="C43" s="74" t="s">
        <v>235</v>
      </c>
      <c r="D43" s="73" t="s">
        <v>189</v>
      </c>
      <c r="E43" s="75">
        <v>42521</v>
      </c>
      <c r="F43" s="75">
        <v>42893</v>
      </c>
      <c r="G43" s="28" t="s">
        <v>143</v>
      </c>
      <c r="H43" s="28" t="s">
        <v>212</v>
      </c>
      <c r="I43" s="76">
        <v>26</v>
      </c>
      <c r="J43" s="76">
        <v>26</v>
      </c>
      <c r="K43" s="76">
        <v>0</v>
      </c>
      <c r="L43" s="77">
        <v>0</v>
      </c>
    </row>
    <row r="44" spans="1:12" s="28" customFormat="1" ht="15" customHeight="1" x14ac:dyDescent="0.2">
      <c r="A44" s="28" t="str">
        <f t="shared" si="0"/>
        <v>Wrangell</v>
      </c>
      <c r="B44" s="73">
        <v>100522</v>
      </c>
      <c r="C44" s="74" t="s">
        <v>184</v>
      </c>
      <c r="D44" s="73">
        <v>6</v>
      </c>
      <c r="E44" s="75">
        <v>42332</v>
      </c>
      <c r="F44" s="75">
        <v>43404</v>
      </c>
      <c r="G44" s="28" t="s">
        <v>143</v>
      </c>
      <c r="H44" s="70" t="s">
        <v>182</v>
      </c>
      <c r="I44" s="76">
        <v>557</v>
      </c>
      <c r="J44" s="76">
        <v>0</v>
      </c>
      <c r="K44" s="76">
        <v>557</v>
      </c>
      <c r="L44" s="77">
        <v>28266.21</v>
      </c>
    </row>
    <row r="45" spans="1:12" s="28" customFormat="1" ht="15" customHeight="1" x14ac:dyDescent="0.2">
      <c r="A45" s="28" t="str">
        <f t="shared" si="0"/>
        <v>Petersburg</v>
      </c>
      <c r="B45" s="73">
        <v>100521</v>
      </c>
      <c r="C45" s="74" t="s">
        <v>173</v>
      </c>
      <c r="D45" s="73" t="s">
        <v>153</v>
      </c>
      <c r="E45" s="75">
        <v>42262</v>
      </c>
      <c r="F45" s="75">
        <v>43404</v>
      </c>
      <c r="G45" s="28" t="s">
        <v>143</v>
      </c>
      <c r="H45" s="70" t="s">
        <v>168</v>
      </c>
      <c r="I45" s="76">
        <v>693.34</v>
      </c>
      <c r="J45" s="76">
        <v>693.34</v>
      </c>
      <c r="K45" s="76">
        <v>0</v>
      </c>
      <c r="L45" s="77">
        <v>0</v>
      </c>
    </row>
    <row r="46" spans="1:12" s="28" customFormat="1" ht="15" customHeight="1" x14ac:dyDescent="0.2">
      <c r="A46" s="28" t="str">
        <f t="shared" si="0"/>
        <v>Ketchikan</v>
      </c>
      <c r="B46" s="73">
        <v>100552</v>
      </c>
      <c r="C46" s="74" t="s">
        <v>106</v>
      </c>
      <c r="D46" s="73" t="s">
        <v>153</v>
      </c>
      <c r="E46" s="75">
        <v>41737</v>
      </c>
      <c r="F46" s="75">
        <v>42674</v>
      </c>
      <c r="G46" s="38" t="s">
        <v>105</v>
      </c>
      <c r="H46" s="38" t="s">
        <v>104</v>
      </c>
      <c r="I46" s="76">
        <v>30</v>
      </c>
      <c r="J46" s="76">
        <v>0</v>
      </c>
      <c r="K46" s="76">
        <v>30</v>
      </c>
      <c r="L46" s="77">
        <v>10105.89</v>
      </c>
    </row>
    <row r="47" spans="1:12" s="28" customFormat="1" ht="15" customHeight="1" x14ac:dyDescent="0.2">
      <c r="A47" s="28" t="str">
        <f t="shared" si="0"/>
        <v>Ketchikan</v>
      </c>
      <c r="B47" s="73">
        <v>100552</v>
      </c>
      <c r="C47" s="74" t="s">
        <v>65</v>
      </c>
      <c r="D47" s="73">
        <v>6</v>
      </c>
      <c r="E47" s="75">
        <v>38762</v>
      </c>
      <c r="F47" s="75">
        <v>41943</v>
      </c>
      <c r="G47" s="28" t="s">
        <v>4</v>
      </c>
      <c r="H47" s="28" t="s">
        <v>24</v>
      </c>
      <c r="I47" s="76">
        <v>12858.17</v>
      </c>
      <c r="J47" s="76">
        <v>12858.17</v>
      </c>
      <c r="K47" s="76">
        <v>0</v>
      </c>
      <c r="L47" s="77">
        <v>0</v>
      </c>
    </row>
    <row r="48" spans="1:12" s="28" customFormat="1" ht="15" customHeight="1" x14ac:dyDescent="0.2">
      <c r="A48" s="28" t="str">
        <f t="shared" si="0"/>
        <v>Ketchikan</v>
      </c>
      <c r="B48" s="73">
        <v>100552</v>
      </c>
      <c r="C48" s="74" t="s">
        <v>66</v>
      </c>
      <c r="D48" s="73" t="s">
        <v>153</v>
      </c>
      <c r="E48" s="75">
        <v>38272</v>
      </c>
      <c r="F48" s="75">
        <v>40847</v>
      </c>
      <c r="G48" s="28" t="s">
        <v>4</v>
      </c>
      <c r="H48" s="28" t="s">
        <v>7</v>
      </c>
      <c r="I48" s="76">
        <v>14580.4</v>
      </c>
      <c r="J48" s="76">
        <v>14580.4</v>
      </c>
      <c r="K48" s="76">
        <v>0</v>
      </c>
      <c r="L48" s="77">
        <v>0</v>
      </c>
    </row>
    <row r="49" spans="1:12" s="28" customFormat="1" ht="15" customHeight="1" x14ac:dyDescent="0.2">
      <c r="A49" s="28" t="str">
        <f t="shared" si="0"/>
        <v>Thorne Bay</v>
      </c>
      <c r="B49" s="73">
        <v>100554</v>
      </c>
      <c r="C49" s="74" t="s">
        <v>72</v>
      </c>
      <c r="D49" s="73">
        <v>13</v>
      </c>
      <c r="E49" s="75">
        <v>41122</v>
      </c>
      <c r="F49" s="75">
        <v>42674</v>
      </c>
      <c r="G49" s="28" t="s">
        <v>2</v>
      </c>
      <c r="H49" s="33" t="s">
        <v>71</v>
      </c>
      <c r="I49" s="76">
        <v>790</v>
      </c>
      <c r="J49" s="76">
        <v>630.39</v>
      </c>
      <c r="K49" s="76">
        <v>159.61000000000001</v>
      </c>
      <c r="L49" s="77">
        <v>14517.03</v>
      </c>
    </row>
    <row r="50" spans="1:12" s="28" customFormat="1" ht="15" customHeight="1" x14ac:dyDescent="0.2">
      <c r="A50" s="28" t="str">
        <f t="shared" si="0"/>
        <v>Thorne Bay</v>
      </c>
      <c r="B50" s="73">
        <v>100554</v>
      </c>
      <c r="C50" s="74" t="s">
        <v>191</v>
      </c>
      <c r="D50" s="73" t="s">
        <v>189</v>
      </c>
      <c r="E50" s="75">
        <v>42430</v>
      </c>
      <c r="F50" s="75">
        <v>42809</v>
      </c>
      <c r="G50" s="28" t="s">
        <v>2</v>
      </c>
      <c r="H50" s="33" t="s">
        <v>193</v>
      </c>
      <c r="I50" s="76">
        <v>100</v>
      </c>
      <c r="J50" s="76">
        <v>0</v>
      </c>
      <c r="K50" s="76">
        <v>100</v>
      </c>
      <c r="L50" s="77">
        <v>250</v>
      </c>
    </row>
    <row r="51" spans="1:12" ht="30" customHeight="1" x14ac:dyDescent="0.2">
      <c r="A51" s="10" t="s">
        <v>39</v>
      </c>
      <c r="B51" s="11" t="s">
        <v>36</v>
      </c>
      <c r="C51" s="11" t="s">
        <v>28</v>
      </c>
      <c r="D51" s="11" t="s">
        <v>149</v>
      </c>
      <c r="E51" s="12" t="s">
        <v>1</v>
      </c>
      <c r="F51" s="12" t="s">
        <v>17</v>
      </c>
      <c r="G51" s="13" t="s">
        <v>40</v>
      </c>
      <c r="H51" s="14" t="s">
        <v>38</v>
      </c>
      <c r="I51" s="20" t="s">
        <v>27</v>
      </c>
      <c r="J51" s="20" t="s">
        <v>26</v>
      </c>
      <c r="K51" s="20" t="s">
        <v>31</v>
      </c>
      <c r="L51" s="20" t="s">
        <v>41</v>
      </c>
    </row>
    <row r="52" spans="1:12" s="4" customFormat="1" ht="30" customHeight="1" x14ac:dyDescent="0.25">
      <c r="A52" s="25"/>
      <c r="B52" s="7"/>
      <c r="C52" s="7"/>
      <c r="D52" s="7"/>
      <c r="E52" s="7"/>
      <c r="F52" s="7"/>
      <c r="G52" s="27" t="s">
        <v>242</v>
      </c>
      <c r="H52" s="24"/>
      <c r="I52" s="24"/>
      <c r="J52" s="24"/>
      <c r="K52" s="24"/>
      <c r="L52" s="24"/>
    </row>
    <row r="53" spans="1:12" s="28" customFormat="1" ht="15" customHeight="1" x14ac:dyDescent="0.2">
      <c r="A53" s="28" t="str">
        <f t="shared" ref="A53:A81" si="1">LOOKUP(B53,$B$110:$B$126,$C$110:$C$126)</f>
        <v>Thorne Bay</v>
      </c>
      <c r="B53" s="73">
        <v>100554</v>
      </c>
      <c r="C53" s="74" t="s">
        <v>131</v>
      </c>
      <c r="D53" s="73" t="s">
        <v>189</v>
      </c>
      <c r="E53" s="75">
        <v>42031</v>
      </c>
      <c r="F53" s="75">
        <v>42427</v>
      </c>
      <c r="G53" s="28" t="s">
        <v>2</v>
      </c>
      <c r="H53" s="33" t="s">
        <v>130</v>
      </c>
      <c r="I53" s="76">
        <v>16</v>
      </c>
      <c r="J53" s="76">
        <v>16</v>
      </c>
      <c r="K53" s="76">
        <v>0</v>
      </c>
      <c r="L53" s="77">
        <v>0</v>
      </c>
    </row>
    <row r="54" spans="1:12" s="28" customFormat="1" ht="15" customHeight="1" x14ac:dyDescent="0.2">
      <c r="A54" s="28" t="str">
        <f t="shared" si="1"/>
        <v>Thorne Bay</v>
      </c>
      <c r="B54" s="73">
        <v>100554</v>
      </c>
      <c r="C54" s="74" t="s">
        <v>129</v>
      </c>
      <c r="D54" s="73">
        <v>6</v>
      </c>
      <c r="E54" s="75">
        <v>41947</v>
      </c>
      <c r="F54" s="75">
        <v>43799</v>
      </c>
      <c r="G54" s="33" t="s">
        <v>73</v>
      </c>
      <c r="H54" s="33" t="s">
        <v>127</v>
      </c>
      <c r="I54" s="76">
        <v>1639</v>
      </c>
      <c r="J54" s="76">
        <v>32.64</v>
      </c>
      <c r="K54" s="76">
        <v>1606.36</v>
      </c>
      <c r="L54" s="77">
        <v>402159.38</v>
      </c>
    </row>
    <row r="55" spans="1:12" s="28" customFormat="1" ht="15" customHeight="1" x14ac:dyDescent="0.2">
      <c r="A55" s="28" t="str">
        <f t="shared" si="1"/>
        <v>Thorne Bay</v>
      </c>
      <c r="B55" s="73">
        <v>100554</v>
      </c>
      <c r="C55" s="74" t="s">
        <v>79</v>
      </c>
      <c r="D55" s="73" t="s">
        <v>236</v>
      </c>
      <c r="E55" s="75">
        <v>41128</v>
      </c>
      <c r="F55" s="75">
        <v>42308</v>
      </c>
      <c r="G55" s="33" t="s">
        <v>73</v>
      </c>
      <c r="H55" s="33" t="s">
        <v>74</v>
      </c>
      <c r="I55" s="76">
        <v>403.04</v>
      </c>
      <c r="J55" s="76">
        <v>403.04</v>
      </c>
      <c r="K55" s="76">
        <v>0</v>
      </c>
      <c r="L55" s="77">
        <v>0</v>
      </c>
    </row>
    <row r="56" spans="1:12" s="28" customFormat="1" ht="15" customHeight="1" x14ac:dyDescent="0.2">
      <c r="A56" s="28" t="str">
        <f t="shared" si="1"/>
        <v>Thorne Bay</v>
      </c>
      <c r="B56" s="73">
        <v>100554</v>
      </c>
      <c r="C56" s="74" t="s">
        <v>80</v>
      </c>
      <c r="D56" s="73" t="s">
        <v>236</v>
      </c>
      <c r="E56" s="75">
        <v>41156</v>
      </c>
      <c r="F56" s="75">
        <v>42674</v>
      </c>
      <c r="G56" s="33" t="s">
        <v>73</v>
      </c>
      <c r="H56" s="33" t="s">
        <v>75</v>
      </c>
      <c r="I56" s="76">
        <v>495</v>
      </c>
      <c r="J56" s="76">
        <v>495</v>
      </c>
      <c r="K56" s="76">
        <v>0</v>
      </c>
      <c r="L56" s="77">
        <v>0</v>
      </c>
    </row>
    <row r="57" spans="1:12" s="28" customFormat="1" ht="15" customHeight="1" x14ac:dyDescent="0.2">
      <c r="A57" s="28" t="str">
        <f t="shared" si="1"/>
        <v>Thorne Bay</v>
      </c>
      <c r="B57" s="73">
        <v>100554</v>
      </c>
      <c r="C57" s="74" t="s">
        <v>81</v>
      </c>
      <c r="D57" s="73">
        <v>13</v>
      </c>
      <c r="E57" s="75">
        <v>41142</v>
      </c>
      <c r="F57" s="75">
        <v>42674</v>
      </c>
      <c r="G57" s="33" t="s">
        <v>73</v>
      </c>
      <c r="H57" s="33" t="s">
        <v>76</v>
      </c>
      <c r="I57" s="76">
        <v>2012.97</v>
      </c>
      <c r="J57" s="76">
        <v>2012.97</v>
      </c>
      <c r="K57" s="76">
        <v>0</v>
      </c>
      <c r="L57" s="77">
        <v>0</v>
      </c>
    </row>
    <row r="58" spans="1:12" s="28" customFormat="1" ht="15" customHeight="1" x14ac:dyDescent="0.2">
      <c r="A58" s="28" t="str">
        <f t="shared" si="1"/>
        <v>Thorne Bay</v>
      </c>
      <c r="B58" s="73">
        <v>100554</v>
      </c>
      <c r="C58" s="74" t="s">
        <v>82</v>
      </c>
      <c r="D58" s="73" t="s">
        <v>236</v>
      </c>
      <c r="E58" s="75">
        <v>41156</v>
      </c>
      <c r="F58" s="75">
        <v>42674</v>
      </c>
      <c r="G58" s="33" t="s">
        <v>73</v>
      </c>
      <c r="H58" s="33" t="s">
        <v>77</v>
      </c>
      <c r="I58" s="76">
        <v>275</v>
      </c>
      <c r="J58" s="76">
        <v>42</v>
      </c>
      <c r="K58" s="76">
        <v>233</v>
      </c>
      <c r="L58" s="77">
        <v>45807.99</v>
      </c>
    </row>
    <row r="59" spans="1:12" s="28" customFormat="1" ht="15" customHeight="1" x14ac:dyDescent="0.2">
      <c r="A59" s="28" t="str">
        <f t="shared" si="1"/>
        <v>Thorne Bay</v>
      </c>
      <c r="B59" s="73">
        <v>100554</v>
      </c>
      <c r="C59" s="74" t="s">
        <v>174</v>
      </c>
      <c r="D59" s="73" t="s">
        <v>189</v>
      </c>
      <c r="E59" s="75">
        <v>42264</v>
      </c>
      <c r="F59" s="75">
        <v>42634</v>
      </c>
      <c r="G59" s="33" t="s">
        <v>169</v>
      </c>
      <c r="H59" s="70" t="s">
        <v>170</v>
      </c>
      <c r="I59" s="76">
        <v>6</v>
      </c>
      <c r="J59" s="76">
        <v>0</v>
      </c>
      <c r="K59" s="76">
        <v>6</v>
      </c>
      <c r="L59" s="77">
        <v>695.1</v>
      </c>
    </row>
    <row r="60" spans="1:12" s="28" customFormat="1" ht="15" customHeight="1" x14ac:dyDescent="0.2">
      <c r="A60" s="28" t="str">
        <f t="shared" si="1"/>
        <v>Thorne Bay</v>
      </c>
      <c r="B60" s="73">
        <v>100554</v>
      </c>
      <c r="C60" s="74" t="s">
        <v>215</v>
      </c>
      <c r="D60" s="73">
        <v>4</v>
      </c>
      <c r="E60" s="75">
        <v>42534</v>
      </c>
      <c r="F60" s="75">
        <v>42886</v>
      </c>
      <c r="G60" s="33" t="s">
        <v>169</v>
      </c>
      <c r="H60" s="70" t="s">
        <v>213</v>
      </c>
      <c r="I60" s="76">
        <v>1.33</v>
      </c>
      <c r="J60" s="76">
        <v>0</v>
      </c>
      <c r="K60" s="76">
        <v>1.33</v>
      </c>
      <c r="L60" s="77">
        <v>134.63999999999999</v>
      </c>
    </row>
    <row r="61" spans="1:12" s="28" customFormat="1" ht="15" customHeight="1" x14ac:dyDescent="0.2">
      <c r="A61" s="28" t="str">
        <f t="shared" si="1"/>
        <v>Thorne Bay</v>
      </c>
      <c r="B61" s="73">
        <v>100554</v>
      </c>
      <c r="C61" s="74" t="s">
        <v>155</v>
      </c>
      <c r="D61" s="73">
        <v>4</v>
      </c>
      <c r="E61" s="75">
        <v>42157</v>
      </c>
      <c r="F61" s="75">
        <v>42531</v>
      </c>
      <c r="G61" s="33" t="s">
        <v>261</v>
      </c>
      <c r="H61" s="70" t="s">
        <v>151</v>
      </c>
      <c r="I61" s="76">
        <v>2.4</v>
      </c>
      <c r="J61" s="76">
        <v>2.4</v>
      </c>
      <c r="K61" s="76">
        <v>0</v>
      </c>
      <c r="L61" s="77">
        <v>0</v>
      </c>
    </row>
    <row r="62" spans="1:12" s="28" customFormat="1" ht="15" customHeight="1" x14ac:dyDescent="0.2">
      <c r="A62" s="28" t="str">
        <f t="shared" si="1"/>
        <v>Thorne Bay</v>
      </c>
      <c r="B62" s="73">
        <v>100554</v>
      </c>
      <c r="C62" s="74" t="s">
        <v>67</v>
      </c>
      <c r="D62" s="73" t="s">
        <v>153</v>
      </c>
      <c r="E62" s="75">
        <v>39665</v>
      </c>
      <c r="F62" s="75">
        <v>41820</v>
      </c>
      <c r="G62" s="34" t="s">
        <v>87</v>
      </c>
      <c r="H62" s="34" t="s">
        <v>43</v>
      </c>
      <c r="I62" s="76">
        <v>244</v>
      </c>
      <c r="J62" s="76">
        <v>244</v>
      </c>
      <c r="K62" s="76">
        <v>0</v>
      </c>
      <c r="L62" s="77">
        <v>0</v>
      </c>
    </row>
    <row r="63" spans="1:12" s="28" customFormat="1" ht="15" customHeight="1" x14ac:dyDescent="0.2">
      <c r="A63" s="28" t="str">
        <f t="shared" si="1"/>
        <v>Thorne Bay</v>
      </c>
      <c r="B63" s="73">
        <v>100554</v>
      </c>
      <c r="C63" s="74" t="s">
        <v>68</v>
      </c>
      <c r="D63" s="73" t="s">
        <v>153</v>
      </c>
      <c r="E63" s="75">
        <v>39665</v>
      </c>
      <c r="F63" s="75">
        <v>41820</v>
      </c>
      <c r="G63" s="34" t="s">
        <v>87</v>
      </c>
      <c r="H63" s="34" t="s">
        <v>44</v>
      </c>
      <c r="I63" s="76">
        <v>249</v>
      </c>
      <c r="J63" s="76">
        <v>249</v>
      </c>
      <c r="K63" s="76">
        <v>0</v>
      </c>
      <c r="L63" s="77">
        <v>0</v>
      </c>
    </row>
    <row r="64" spans="1:12" s="28" customFormat="1" ht="15" customHeight="1" x14ac:dyDescent="0.2">
      <c r="A64" s="28" t="str">
        <f t="shared" si="1"/>
        <v>Thorne Bay</v>
      </c>
      <c r="B64" s="73">
        <v>100554</v>
      </c>
      <c r="C64" s="74" t="s">
        <v>132</v>
      </c>
      <c r="D64" s="73" t="s">
        <v>153</v>
      </c>
      <c r="E64" s="75">
        <v>42024</v>
      </c>
      <c r="F64" s="75">
        <v>42758</v>
      </c>
      <c r="G64" s="39" t="s">
        <v>51</v>
      </c>
      <c r="H64" s="39" t="s">
        <v>133</v>
      </c>
      <c r="I64" s="76">
        <v>198</v>
      </c>
      <c r="J64" s="76">
        <v>0</v>
      </c>
      <c r="K64" s="76">
        <v>198</v>
      </c>
      <c r="L64" s="77">
        <v>30230.400000000001</v>
      </c>
    </row>
    <row r="65" spans="1:12" s="28" customFormat="1" ht="15" customHeight="1" x14ac:dyDescent="0.2">
      <c r="A65" s="28" t="str">
        <f t="shared" si="1"/>
        <v>Sitka</v>
      </c>
      <c r="B65" s="73">
        <v>100531</v>
      </c>
      <c r="C65" s="74" t="s">
        <v>179</v>
      </c>
      <c r="D65" s="73" t="s">
        <v>153</v>
      </c>
      <c r="E65" s="75">
        <v>42283</v>
      </c>
      <c r="F65" s="75">
        <v>44135</v>
      </c>
      <c r="G65" s="100" t="s">
        <v>176</v>
      </c>
      <c r="H65" s="72" t="s">
        <v>177</v>
      </c>
      <c r="I65" s="76">
        <v>29.34</v>
      </c>
      <c r="J65" s="76">
        <v>0</v>
      </c>
      <c r="K65" s="76">
        <v>29.34</v>
      </c>
      <c r="L65" s="77">
        <v>317.45999999999998</v>
      </c>
    </row>
    <row r="66" spans="1:12" s="28" customFormat="1" ht="15" customHeight="1" x14ac:dyDescent="0.2">
      <c r="A66" s="28" t="str">
        <f t="shared" si="1"/>
        <v>Sitka</v>
      </c>
      <c r="B66" s="73">
        <v>100531</v>
      </c>
      <c r="C66" s="74" t="s">
        <v>113</v>
      </c>
      <c r="D66" s="73" t="s">
        <v>153</v>
      </c>
      <c r="E66" s="75">
        <v>41772</v>
      </c>
      <c r="F66" s="75">
        <v>42674</v>
      </c>
      <c r="G66" s="101" t="s">
        <v>84</v>
      </c>
      <c r="H66" s="28" t="s">
        <v>112</v>
      </c>
      <c r="I66" s="76">
        <v>24</v>
      </c>
      <c r="J66" s="76">
        <v>20</v>
      </c>
      <c r="K66" s="76">
        <v>4</v>
      </c>
      <c r="L66" s="77">
        <v>770.96</v>
      </c>
    </row>
    <row r="67" spans="1:12" s="28" customFormat="1" ht="15" customHeight="1" x14ac:dyDescent="0.2">
      <c r="A67" s="28" t="str">
        <f t="shared" si="1"/>
        <v>Sitka</v>
      </c>
      <c r="B67" s="73">
        <v>100531</v>
      </c>
      <c r="C67" s="74" t="s">
        <v>180</v>
      </c>
      <c r="D67" s="73" t="s">
        <v>153</v>
      </c>
      <c r="E67" s="75">
        <v>42283</v>
      </c>
      <c r="F67" s="75">
        <v>44135</v>
      </c>
      <c r="G67" s="101" t="s">
        <v>84</v>
      </c>
      <c r="H67" s="28" t="s">
        <v>178</v>
      </c>
      <c r="I67" s="76">
        <v>94.66</v>
      </c>
      <c r="J67" s="76">
        <v>0</v>
      </c>
      <c r="K67" s="76">
        <v>94.66</v>
      </c>
      <c r="L67" s="77">
        <v>2438.91</v>
      </c>
    </row>
    <row r="68" spans="1:12" s="28" customFormat="1" ht="15" customHeight="1" x14ac:dyDescent="0.2">
      <c r="A68" s="28" t="str">
        <f t="shared" si="1"/>
        <v>Thorne Bay</v>
      </c>
      <c r="B68" s="73">
        <v>100554</v>
      </c>
      <c r="C68" s="74" t="s">
        <v>116</v>
      </c>
      <c r="D68" s="73">
        <v>13</v>
      </c>
      <c r="E68" s="75">
        <v>41905</v>
      </c>
      <c r="F68" s="75">
        <v>45565</v>
      </c>
      <c r="G68" s="28" t="s">
        <v>21</v>
      </c>
      <c r="H68" s="28" t="s">
        <v>115</v>
      </c>
      <c r="I68" s="76">
        <v>97716.55</v>
      </c>
      <c r="J68" s="76">
        <v>60423.39</v>
      </c>
      <c r="K68" s="76">
        <v>37293.160000000003</v>
      </c>
      <c r="L68" s="77">
        <v>4340279.47</v>
      </c>
    </row>
    <row r="69" spans="1:12" s="28" customFormat="1" ht="15" customHeight="1" x14ac:dyDescent="0.2">
      <c r="A69" s="28" t="str">
        <f t="shared" si="1"/>
        <v>Thorne Bay</v>
      </c>
      <c r="B69" s="73">
        <v>100554</v>
      </c>
      <c r="C69" s="74" t="s">
        <v>175</v>
      </c>
      <c r="D69" s="73">
        <v>6</v>
      </c>
      <c r="E69" s="75">
        <v>42269</v>
      </c>
      <c r="F69" s="75">
        <v>44500</v>
      </c>
      <c r="G69" s="28" t="s">
        <v>21</v>
      </c>
      <c r="H69" s="70" t="s">
        <v>171</v>
      </c>
      <c r="I69" s="76">
        <v>8444</v>
      </c>
      <c r="J69" s="76">
        <v>2201</v>
      </c>
      <c r="K69" s="76">
        <v>6243</v>
      </c>
      <c r="L69" s="77">
        <v>599995.72</v>
      </c>
    </row>
    <row r="70" spans="1:12" s="28" customFormat="1" ht="15" customHeight="1" x14ac:dyDescent="0.2">
      <c r="A70" s="28" t="str">
        <f t="shared" si="1"/>
        <v>Petersburg</v>
      </c>
      <c r="B70" s="73">
        <v>100521</v>
      </c>
      <c r="C70" s="74" t="s">
        <v>69</v>
      </c>
      <c r="D70" s="73" t="s">
        <v>153</v>
      </c>
      <c r="E70" s="75">
        <v>38664</v>
      </c>
      <c r="F70" s="75">
        <v>41943</v>
      </c>
      <c r="G70" s="28" t="s">
        <v>21</v>
      </c>
      <c r="H70" s="28" t="s">
        <v>22</v>
      </c>
      <c r="I70" s="76">
        <v>23265.38</v>
      </c>
      <c r="J70" s="76">
        <v>23265.38</v>
      </c>
      <c r="K70" s="76">
        <v>0</v>
      </c>
      <c r="L70" s="77">
        <v>0</v>
      </c>
    </row>
    <row r="71" spans="1:12" s="28" customFormat="1" ht="15" customHeight="1" x14ac:dyDescent="0.2">
      <c r="A71" s="28" t="str">
        <f t="shared" si="1"/>
        <v>Thorne Bay</v>
      </c>
      <c r="B71" s="73">
        <v>100554</v>
      </c>
      <c r="C71" s="74" t="s">
        <v>70</v>
      </c>
      <c r="D71" s="73">
        <v>6</v>
      </c>
      <c r="E71" s="75">
        <v>40448</v>
      </c>
      <c r="F71" s="75">
        <v>42308</v>
      </c>
      <c r="G71" s="28" t="s">
        <v>21</v>
      </c>
      <c r="H71" s="28" t="s">
        <v>52</v>
      </c>
      <c r="I71" s="76">
        <v>31842.73</v>
      </c>
      <c r="J71" s="76">
        <v>31842.73</v>
      </c>
      <c r="K71" s="76">
        <v>0</v>
      </c>
      <c r="L71" s="77">
        <v>0</v>
      </c>
    </row>
    <row r="72" spans="1:12" s="28" customFormat="1" ht="15" customHeight="1" x14ac:dyDescent="0.2">
      <c r="A72" s="28" t="str">
        <f t="shared" si="1"/>
        <v>Petersburg</v>
      </c>
      <c r="B72" s="73">
        <v>100521</v>
      </c>
      <c r="C72" s="74" t="s">
        <v>83</v>
      </c>
      <c r="D72" s="73">
        <v>13</v>
      </c>
      <c r="E72" s="75">
        <v>41170</v>
      </c>
      <c r="F72" s="75">
        <v>43039</v>
      </c>
      <c r="G72" s="28" t="s">
        <v>21</v>
      </c>
      <c r="H72" s="33" t="s">
        <v>78</v>
      </c>
      <c r="I72" s="76">
        <v>42447.61</v>
      </c>
      <c r="J72" s="76">
        <v>42447.61</v>
      </c>
      <c r="K72" s="76">
        <v>0</v>
      </c>
      <c r="L72" s="77">
        <v>0</v>
      </c>
    </row>
    <row r="73" spans="1:12" s="28" customFormat="1" ht="15" customHeight="1" x14ac:dyDescent="0.2">
      <c r="A73" s="28" t="str">
        <f t="shared" si="1"/>
        <v>Thorne Bay</v>
      </c>
      <c r="B73" s="73">
        <v>100554</v>
      </c>
      <c r="C73" s="74" t="s">
        <v>137</v>
      </c>
      <c r="D73" s="73">
        <v>4</v>
      </c>
      <c r="E73" s="75">
        <v>42087</v>
      </c>
      <c r="F73" s="75">
        <v>42458</v>
      </c>
      <c r="G73" s="33" t="s">
        <v>114</v>
      </c>
      <c r="H73" s="33" t="s">
        <v>134</v>
      </c>
      <c r="I73" s="76">
        <v>1</v>
      </c>
      <c r="J73" s="76">
        <v>1</v>
      </c>
      <c r="K73" s="76">
        <v>0</v>
      </c>
      <c r="L73" s="77">
        <v>0</v>
      </c>
    </row>
    <row r="74" spans="1:12" s="28" customFormat="1" ht="15.6" customHeight="1" x14ac:dyDescent="0.2">
      <c r="A74" s="28" t="str">
        <f t="shared" si="1"/>
        <v>Thorne Bay</v>
      </c>
      <c r="B74" s="73">
        <v>100554</v>
      </c>
      <c r="C74" s="74" t="s">
        <v>206</v>
      </c>
      <c r="D74" s="73">
        <v>6</v>
      </c>
      <c r="E74" s="75">
        <v>42514</v>
      </c>
      <c r="F74" s="75">
        <v>44135</v>
      </c>
      <c r="G74" s="28" t="s">
        <v>202</v>
      </c>
      <c r="H74" s="28" t="s">
        <v>203</v>
      </c>
      <c r="I74" s="76">
        <v>910</v>
      </c>
      <c r="J74" s="76">
        <v>29.67</v>
      </c>
      <c r="K74" s="76">
        <v>880.33</v>
      </c>
      <c r="L74" s="77">
        <v>125245.17</v>
      </c>
    </row>
    <row r="75" spans="1:12" s="28" customFormat="1" ht="15.6" customHeight="1" x14ac:dyDescent="0.2">
      <c r="A75" s="28" t="str">
        <f t="shared" si="1"/>
        <v>Thorne Bay</v>
      </c>
      <c r="B75" s="73">
        <v>100554</v>
      </c>
      <c r="C75" s="74" t="s">
        <v>270</v>
      </c>
      <c r="D75" s="73" t="s">
        <v>153</v>
      </c>
      <c r="E75" s="75">
        <v>42563</v>
      </c>
      <c r="F75" s="75">
        <v>43404</v>
      </c>
      <c r="G75" s="28" t="s">
        <v>202</v>
      </c>
      <c r="H75" s="28" t="s">
        <v>274</v>
      </c>
      <c r="I75" s="76">
        <v>168.92</v>
      </c>
      <c r="J75" s="76">
        <v>0</v>
      </c>
      <c r="K75" s="76">
        <v>168.92</v>
      </c>
      <c r="L75" s="77">
        <v>38511.53</v>
      </c>
    </row>
    <row r="76" spans="1:12" s="28" customFormat="1" ht="15.6" customHeight="1" x14ac:dyDescent="0.2">
      <c r="A76" s="28" t="str">
        <f t="shared" si="1"/>
        <v>Thorne Bay</v>
      </c>
      <c r="B76" s="73">
        <v>100554</v>
      </c>
      <c r="C76" s="74" t="s">
        <v>138</v>
      </c>
      <c r="D76" s="73" t="s">
        <v>189</v>
      </c>
      <c r="E76" s="75">
        <v>41940</v>
      </c>
      <c r="F76" s="75">
        <v>42335</v>
      </c>
      <c r="G76" s="28" t="s">
        <v>135</v>
      </c>
      <c r="H76" s="28" t="s">
        <v>136</v>
      </c>
      <c r="I76" s="76">
        <v>4.3</v>
      </c>
      <c r="J76" s="76">
        <v>4.3</v>
      </c>
      <c r="K76" s="76">
        <v>0</v>
      </c>
      <c r="L76" s="77">
        <v>0</v>
      </c>
    </row>
    <row r="77" spans="1:12" s="28" customFormat="1" ht="15.6" customHeight="1" x14ac:dyDescent="0.2">
      <c r="A77" s="28" t="str">
        <f t="shared" si="1"/>
        <v>Thorne Bay</v>
      </c>
      <c r="B77" s="73">
        <v>100554</v>
      </c>
      <c r="C77" s="74" t="s">
        <v>207</v>
      </c>
      <c r="D77" s="73">
        <v>4</v>
      </c>
      <c r="E77" s="75">
        <v>42507</v>
      </c>
      <c r="F77" s="75">
        <v>42529</v>
      </c>
      <c r="G77" s="28" t="s">
        <v>135</v>
      </c>
      <c r="H77" s="28" t="s">
        <v>204</v>
      </c>
      <c r="I77" s="76">
        <v>1.67</v>
      </c>
      <c r="J77" s="76">
        <v>1.67</v>
      </c>
      <c r="K77" s="76">
        <v>0</v>
      </c>
      <c r="L77" s="77">
        <v>0</v>
      </c>
    </row>
    <row r="78" spans="1:12" s="28" customFormat="1" ht="15.6" customHeight="1" x14ac:dyDescent="0.2">
      <c r="A78" s="28" t="str">
        <f t="shared" si="1"/>
        <v>Thorne Bay</v>
      </c>
      <c r="B78" s="73">
        <v>100554</v>
      </c>
      <c r="C78" s="74" t="s">
        <v>271</v>
      </c>
      <c r="D78" s="73" t="s">
        <v>189</v>
      </c>
      <c r="E78" s="75">
        <v>42612</v>
      </c>
      <c r="F78" s="75">
        <v>42983</v>
      </c>
      <c r="G78" s="28" t="s">
        <v>135</v>
      </c>
      <c r="H78" s="28" t="s">
        <v>262</v>
      </c>
      <c r="I78" s="76">
        <v>2.52</v>
      </c>
      <c r="J78" s="76">
        <v>0</v>
      </c>
      <c r="K78" s="76">
        <v>2.52</v>
      </c>
      <c r="L78" s="77">
        <v>136.41</v>
      </c>
    </row>
    <row r="79" spans="1:12" s="28" customFormat="1" ht="15.6" customHeight="1" x14ac:dyDescent="0.2">
      <c r="A79" s="28" t="str">
        <f t="shared" si="1"/>
        <v>Thorne Bay</v>
      </c>
      <c r="B79" s="73">
        <v>100554</v>
      </c>
      <c r="C79" s="74" t="s">
        <v>156</v>
      </c>
      <c r="D79" s="73">
        <v>4</v>
      </c>
      <c r="E79" s="75">
        <v>42164</v>
      </c>
      <c r="F79" s="75">
        <v>42539</v>
      </c>
      <c r="G79" s="28" t="s">
        <v>30</v>
      </c>
      <c r="H79" s="28" t="s">
        <v>152</v>
      </c>
      <c r="I79" s="76">
        <v>4</v>
      </c>
      <c r="J79" s="76">
        <v>4</v>
      </c>
      <c r="K79" s="76">
        <v>0</v>
      </c>
      <c r="L79" s="77">
        <v>0</v>
      </c>
    </row>
    <row r="80" spans="1:12" s="28" customFormat="1" ht="15.6" customHeight="1" x14ac:dyDescent="0.2">
      <c r="A80" s="28" t="str">
        <f t="shared" si="1"/>
        <v>Thorne Bay</v>
      </c>
      <c r="B80" s="73">
        <v>100554</v>
      </c>
      <c r="C80" s="74" t="s">
        <v>157</v>
      </c>
      <c r="D80" s="73">
        <v>4</v>
      </c>
      <c r="E80" s="75">
        <v>42171</v>
      </c>
      <c r="F80" s="75">
        <v>42546</v>
      </c>
      <c r="G80" s="28" t="s">
        <v>30</v>
      </c>
      <c r="H80" s="28" t="s">
        <v>161</v>
      </c>
      <c r="I80" s="76">
        <v>8</v>
      </c>
      <c r="J80" s="76">
        <v>8</v>
      </c>
      <c r="K80" s="76">
        <v>0</v>
      </c>
      <c r="L80" s="77">
        <v>0</v>
      </c>
    </row>
    <row r="81" spans="1:12" s="28" customFormat="1" ht="15.6" customHeight="1" x14ac:dyDescent="0.2">
      <c r="A81" s="28" t="str">
        <f t="shared" si="1"/>
        <v>Thorne Bay</v>
      </c>
      <c r="B81" s="73">
        <v>100554</v>
      </c>
      <c r="C81" s="74" t="s">
        <v>216</v>
      </c>
      <c r="D81" s="73">
        <v>4</v>
      </c>
      <c r="E81" s="75">
        <v>42542</v>
      </c>
      <c r="F81" s="75">
        <v>42912</v>
      </c>
      <c r="G81" s="28" t="s">
        <v>30</v>
      </c>
      <c r="H81" s="28" t="s">
        <v>214</v>
      </c>
      <c r="I81" s="76">
        <v>1.1399999999999999</v>
      </c>
      <c r="J81" s="76">
        <v>0</v>
      </c>
      <c r="K81" s="76">
        <v>1.1399999999999999</v>
      </c>
      <c r="L81" s="77">
        <v>61.71</v>
      </c>
    </row>
    <row r="82" spans="1:12" s="34" customFormat="1" x14ac:dyDescent="0.2">
      <c r="A82" s="28"/>
      <c r="B82" s="73"/>
      <c r="C82" s="74"/>
      <c r="D82" s="73"/>
      <c r="E82" s="75"/>
      <c r="F82" s="75"/>
      <c r="H82" s="40"/>
      <c r="I82" s="76"/>
      <c r="J82" s="76"/>
      <c r="K82" s="76"/>
      <c r="L82" s="77"/>
    </row>
    <row r="83" spans="1:12" s="28" customFormat="1" ht="21.75" customHeight="1" x14ac:dyDescent="0.2">
      <c r="A83" s="92" t="s">
        <v>245</v>
      </c>
      <c r="B83" s="99"/>
      <c r="C83" s="93">
        <f>COUNTIF($K$3:$K$82,"&gt;=0")</f>
        <v>77</v>
      </c>
      <c r="D83" s="93"/>
      <c r="E83" s="93"/>
      <c r="F83" s="93"/>
      <c r="G83" s="94" t="s">
        <v>243</v>
      </c>
      <c r="H83" s="95">
        <f>COUNTIF($K$3:$K$82,"&gt;0")</f>
        <v>51</v>
      </c>
      <c r="I83" s="96">
        <f>SUM(I3:I82)</f>
        <v>318755.6399999999</v>
      </c>
      <c r="J83" s="96">
        <f>SUM(J3:J82)</f>
        <v>240669.44</v>
      </c>
      <c r="K83" s="96">
        <f>SUM(K3:K82)</f>
        <v>78086.200000000012</v>
      </c>
      <c r="L83" s="96">
        <f>SUM(L3:L82)</f>
        <v>7522626.2199999997</v>
      </c>
    </row>
    <row r="84" spans="1:12" s="34" customFormat="1" ht="30" customHeight="1" x14ac:dyDescent="0.2">
      <c r="A84" s="28"/>
      <c r="B84" s="41"/>
      <c r="C84" s="42"/>
      <c r="D84" s="42"/>
      <c r="E84" s="41"/>
      <c r="F84" s="43"/>
      <c r="I84" s="49"/>
      <c r="J84" s="49"/>
      <c r="K84" s="49"/>
      <c r="L84" s="44"/>
    </row>
    <row r="85" spans="1:12" s="4" customFormat="1" ht="30" customHeight="1" x14ac:dyDescent="0.25">
      <c r="A85" s="25"/>
      <c r="B85" s="7"/>
      <c r="C85" s="7"/>
      <c r="D85" s="7"/>
      <c r="E85" s="7"/>
      <c r="F85" s="7"/>
      <c r="G85" s="27" t="s">
        <v>238</v>
      </c>
      <c r="H85" s="24"/>
      <c r="I85" s="24"/>
      <c r="J85" s="24"/>
      <c r="K85" s="24"/>
      <c r="L85" s="24"/>
    </row>
    <row r="86" spans="1:12" s="34" customFormat="1" x14ac:dyDescent="0.2">
      <c r="A86" s="28" t="str">
        <f t="shared" ref="A86" si="2">LOOKUP(B86,$B$110:$B$127,$C$110:$C$127)</f>
        <v>Sitka</v>
      </c>
      <c r="B86" s="78">
        <v>100531</v>
      </c>
      <c r="C86" s="79" t="s">
        <v>231</v>
      </c>
      <c r="D86" s="79" t="s">
        <v>192</v>
      </c>
      <c r="E86" s="75"/>
      <c r="F86" s="75">
        <v>42735</v>
      </c>
      <c r="G86" s="34" t="s">
        <v>253</v>
      </c>
      <c r="H86" s="40" t="s">
        <v>20</v>
      </c>
      <c r="I86" s="80">
        <v>1</v>
      </c>
      <c r="J86" s="80">
        <v>0</v>
      </c>
      <c r="K86" s="80">
        <v>1</v>
      </c>
      <c r="L86" s="81">
        <v>20</v>
      </c>
    </row>
    <row r="87" spans="1:12" s="34" customFormat="1" x14ac:dyDescent="0.2">
      <c r="A87" s="28" t="str">
        <f t="shared" ref="A87" si="3">LOOKUP(B87,$B$110:$B$127,$C$110:$C$127)</f>
        <v>Thorne Bay</v>
      </c>
      <c r="B87" s="78">
        <v>100554</v>
      </c>
      <c r="C87" s="79" t="s">
        <v>232</v>
      </c>
      <c r="D87" s="79" t="s">
        <v>192</v>
      </c>
      <c r="E87" s="75"/>
      <c r="F87" s="75">
        <v>42623</v>
      </c>
      <c r="G87" s="34" t="s">
        <v>45</v>
      </c>
      <c r="H87" s="40" t="s">
        <v>20</v>
      </c>
      <c r="I87" s="80">
        <v>2.5</v>
      </c>
      <c r="J87" s="80">
        <v>0</v>
      </c>
      <c r="K87" s="80">
        <v>2.5</v>
      </c>
      <c r="L87" s="81">
        <v>25</v>
      </c>
    </row>
    <row r="88" spans="1:12" s="34" customFormat="1" x14ac:dyDescent="0.2">
      <c r="A88" s="28" t="str">
        <f>LOOKUP(B88,$B$110:$B$126,$C$110:$C$126)</f>
        <v>Thorne Bay</v>
      </c>
      <c r="B88" s="41">
        <v>100554</v>
      </c>
      <c r="C88" s="42" t="s">
        <v>233</v>
      </c>
      <c r="D88" s="42" t="s">
        <v>192</v>
      </c>
      <c r="E88" s="41"/>
      <c r="F88" s="75">
        <v>42633</v>
      </c>
      <c r="G88" s="34" t="s">
        <v>23</v>
      </c>
      <c r="H88" s="40" t="s">
        <v>20</v>
      </c>
      <c r="I88" s="40">
        <v>2</v>
      </c>
      <c r="J88" s="40">
        <v>0</v>
      </c>
      <c r="K88" s="40">
        <v>2</v>
      </c>
      <c r="L88" s="44">
        <v>20</v>
      </c>
    </row>
    <row r="89" spans="1:12" s="34" customFormat="1" x14ac:dyDescent="0.2">
      <c r="A89" s="28" t="str">
        <f>LOOKUP(B89,$B$110:$B$126,$C$110:$C$126)</f>
        <v>Thorne Bay</v>
      </c>
      <c r="B89" s="41">
        <v>100554</v>
      </c>
      <c r="C89" s="42" t="s">
        <v>254</v>
      </c>
      <c r="D89" s="42" t="s">
        <v>192</v>
      </c>
      <c r="E89" s="41"/>
      <c r="F89" s="75">
        <v>42650</v>
      </c>
      <c r="G89" s="34" t="s">
        <v>23</v>
      </c>
      <c r="H89" s="40" t="s">
        <v>20</v>
      </c>
      <c r="I89" s="40">
        <v>2.5</v>
      </c>
      <c r="J89" s="40">
        <v>0</v>
      </c>
      <c r="K89" s="40">
        <v>2.5</v>
      </c>
      <c r="L89" s="44">
        <v>25</v>
      </c>
    </row>
    <row r="90" spans="1:12" s="34" customFormat="1" x14ac:dyDescent="0.2">
      <c r="A90" s="28"/>
      <c r="B90" s="41"/>
      <c r="C90" s="42"/>
      <c r="D90" s="42"/>
      <c r="E90" s="41"/>
      <c r="F90" s="43"/>
      <c r="H90" s="40"/>
      <c r="I90" s="40"/>
      <c r="J90" s="40"/>
      <c r="K90" s="45"/>
      <c r="L90" s="44"/>
    </row>
    <row r="91" spans="1:12" s="28" customFormat="1" ht="21.75" customHeight="1" x14ac:dyDescent="0.2">
      <c r="A91" s="92" t="s">
        <v>246</v>
      </c>
      <c r="B91" s="99"/>
      <c r="C91" s="93">
        <f>COUNTIF($K$86:$K$90,"&gt;=0")</f>
        <v>4</v>
      </c>
      <c r="D91" s="93"/>
      <c r="E91" s="93"/>
      <c r="F91" s="93"/>
      <c r="G91" s="94" t="s">
        <v>244</v>
      </c>
      <c r="H91" s="95">
        <f>COUNTIF($K$86:$K$90,"&gt;0")</f>
        <v>4</v>
      </c>
      <c r="I91" s="96">
        <f>SUM(I86:I90)</f>
        <v>8</v>
      </c>
      <c r="J91" s="96">
        <f>SUM(J86:J90)</f>
        <v>0</v>
      </c>
      <c r="K91" s="96">
        <f>SUM(K86:K90)</f>
        <v>8</v>
      </c>
      <c r="L91" s="97">
        <f>SUM(L86:L90)</f>
        <v>90</v>
      </c>
    </row>
    <row r="92" spans="1:12" ht="30" customHeight="1" x14ac:dyDescent="0.2">
      <c r="A92" s="10" t="s">
        <v>39</v>
      </c>
      <c r="B92" s="11" t="s">
        <v>36</v>
      </c>
      <c r="C92" s="11" t="s">
        <v>28</v>
      </c>
      <c r="D92" s="11" t="s">
        <v>149</v>
      </c>
      <c r="E92" s="12" t="s">
        <v>1</v>
      </c>
      <c r="F92" s="12" t="s">
        <v>17</v>
      </c>
      <c r="G92" s="13" t="s">
        <v>40</v>
      </c>
      <c r="H92" s="14" t="s">
        <v>38</v>
      </c>
      <c r="I92" s="20" t="s">
        <v>27</v>
      </c>
      <c r="J92" s="20" t="s">
        <v>26</v>
      </c>
      <c r="K92" s="20" t="s">
        <v>31</v>
      </c>
      <c r="L92" s="20" t="s">
        <v>41</v>
      </c>
    </row>
    <row r="93" spans="1:12" s="50" customFormat="1" ht="30" customHeight="1" x14ac:dyDescent="0.2">
      <c r="A93" s="23"/>
      <c r="B93" s="15"/>
      <c r="C93" s="15"/>
      <c r="D93" s="15"/>
      <c r="E93" s="15"/>
      <c r="F93" s="15"/>
      <c r="G93" s="27" t="s">
        <v>239</v>
      </c>
      <c r="H93" s="28"/>
      <c r="I93" s="28"/>
      <c r="J93" s="28"/>
      <c r="K93" s="28"/>
      <c r="L93" s="28"/>
    </row>
    <row r="94" spans="1:12" s="28" customFormat="1" ht="15" customHeight="1" x14ac:dyDescent="0.2">
      <c r="B94" s="51"/>
      <c r="C94" s="52"/>
      <c r="D94" s="52"/>
      <c r="E94" s="53"/>
      <c r="F94" s="53"/>
      <c r="G94" s="54"/>
      <c r="H94" s="54"/>
      <c r="I94" s="55"/>
      <c r="J94" s="55"/>
      <c r="K94" s="55"/>
      <c r="L94" s="56"/>
    </row>
    <row r="95" spans="1:12" s="28" customFormat="1" ht="15" customHeight="1" x14ac:dyDescent="0.2">
      <c r="A95" s="28" t="str">
        <f>LOOKUP(B95,$B$110:$B$126,$C$110:$C$126)</f>
        <v>Seward</v>
      </c>
      <c r="B95" s="57">
        <v>100430</v>
      </c>
      <c r="C95" s="58" t="s">
        <v>49</v>
      </c>
      <c r="D95" s="58" t="s">
        <v>153</v>
      </c>
      <c r="E95" s="43">
        <v>40105</v>
      </c>
      <c r="F95" s="43">
        <v>43797</v>
      </c>
      <c r="G95" s="39" t="s">
        <v>50</v>
      </c>
      <c r="H95" s="39" t="s">
        <v>103</v>
      </c>
      <c r="I95" s="49">
        <v>159</v>
      </c>
      <c r="J95" s="49">
        <v>51.5</v>
      </c>
      <c r="K95" s="49">
        <v>107.5</v>
      </c>
      <c r="L95" s="44">
        <v>1075</v>
      </c>
    </row>
    <row r="96" spans="1:12" s="28" customFormat="1" ht="15" customHeight="1" x14ac:dyDescent="0.2">
      <c r="A96" s="28" t="str">
        <f>LOOKUP(B96,$B$110:$B$126,$C$110:$C$126)</f>
        <v>Seward</v>
      </c>
      <c r="B96" s="57">
        <v>100430</v>
      </c>
      <c r="C96" s="58" t="s">
        <v>119</v>
      </c>
      <c r="D96" s="58" t="s">
        <v>158</v>
      </c>
      <c r="E96" s="43">
        <v>41933</v>
      </c>
      <c r="F96" s="43">
        <v>43024</v>
      </c>
      <c r="G96" s="33" t="s">
        <v>117</v>
      </c>
      <c r="H96" s="33" t="s">
        <v>118</v>
      </c>
      <c r="I96" s="49">
        <v>650</v>
      </c>
      <c r="J96" s="49">
        <v>650</v>
      </c>
      <c r="K96" s="49">
        <v>0</v>
      </c>
      <c r="L96" s="44">
        <v>0</v>
      </c>
    </row>
    <row r="97" spans="1:12" s="28" customFormat="1" ht="15" customHeight="1" x14ac:dyDescent="0.2">
      <c r="B97" s="59"/>
      <c r="C97" s="60"/>
      <c r="D97" s="60"/>
      <c r="E97" s="61"/>
      <c r="F97" s="61"/>
      <c r="G97" s="62"/>
      <c r="H97" s="62"/>
      <c r="I97" s="63"/>
      <c r="J97" s="63"/>
      <c r="K97" s="63"/>
      <c r="L97" s="64"/>
    </row>
    <row r="98" spans="1:12" s="28" customFormat="1" ht="15" customHeight="1" x14ac:dyDescent="0.2">
      <c r="A98" s="92" t="s">
        <v>248</v>
      </c>
      <c r="B98" s="93"/>
      <c r="C98" s="95">
        <f>COUNTIF($K$95:$K$97,"&gt;=0")</f>
        <v>2</v>
      </c>
      <c r="D98" s="95"/>
      <c r="E98" s="93"/>
      <c r="F98" s="93"/>
      <c r="G98" s="94" t="s">
        <v>249</v>
      </c>
      <c r="H98" s="95">
        <f>COUNTIF($K$95:$K$97,"&gt;0")</f>
        <v>1</v>
      </c>
      <c r="I98" s="96">
        <f>SUM(I95:I97)</f>
        <v>809</v>
      </c>
      <c r="J98" s="96">
        <f>SUM(J95:J97)</f>
        <v>701.5</v>
      </c>
      <c r="K98" s="96">
        <f>SUM(K95:K97)</f>
        <v>107.5</v>
      </c>
      <c r="L98" s="96">
        <f>SUM(L95:L97)</f>
        <v>1075</v>
      </c>
    </row>
    <row r="99" spans="1:12" s="34" customFormat="1" ht="30" customHeight="1" x14ac:dyDescent="0.2">
      <c r="A99" s="28"/>
      <c r="B99" s="41"/>
      <c r="C99" s="42"/>
      <c r="D99" s="42"/>
      <c r="E99" s="41"/>
      <c r="F99" s="43"/>
      <c r="I99" s="49"/>
      <c r="J99" s="49"/>
      <c r="K99" s="49"/>
      <c r="L99" s="44"/>
    </row>
    <row r="100" spans="1:12" s="50" customFormat="1" ht="30" customHeight="1" x14ac:dyDescent="0.2">
      <c r="A100" s="23"/>
      <c r="B100" s="15"/>
      <c r="C100" s="15"/>
      <c r="D100" s="15"/>
      <c r="E100" s="15"/>
      <c r="F100" s="15"/>
      <c r="G100" s="27" t="s">
        <v>240</v>
      </c>
      <c r="H100" s="28"/>
      <c r="I100" s="28"/>
      <c r="J100" s="28"/>
      <c r="K100" s="28"/>
      <c r="L100" s="28"/>
    </row>
    <row r="101" spans="1:12" s="34" customFormat="1" x14ac:dyDescent="0.2">
      <c r="A101" s="28"/>
      <c r="B101" s="78"/>
      <c r="C101" s="79"/>
      <c r="D101" s="79"/>
      <c r="E101" s="75"/>
      <c r="F101" s="75"/>
      <c r="H101" s="40"/>
      <c r="I101" s="80"/>
      <c r="J101" s="80"/>
      <c r="K101" s="80"/>
      <c r="L101" s="81"/>
    </row>
    <row r="102" spans="1:12" s="34" customFormat="1" x14ac:dyDescent="0.2">
      <c r="A102" s="28"/>
      <c r="B102" s="41"/>
      <c r="C102" s="42"/>
      <c r="D102" s="42"/>
      <c r="E102" s="41"/>
      <c r="F102" s="43"/>
      <c r="H102" s="40"/>
      <c r="I102" s="40"/>
      <c r="J102" s="40"/>
      <c r="K102" s="45"/>
      <c r="L102" s="44"/>
    </row>
    <row r="103" spans="1:12" s="28" customFormat="1" ht="21.75" customHeight="1" x14ac:dyDescent="0.2">
      <c r="A103" s="92" t="s">
        <v>247</v>
      </c>
      <c r="B103" s="93"/>
      <c r="C103" s="93">
        <f>COUNTIF($K$101:$K$102,"&gt;=0")</f>
        <v>0</v>
      </c>
      <c r="D103" s="93"/>
      <c r="E103" s="93"/>
      <c r="F103" s="93"/>
      <c r="G103" s="94" t="s">
        <v>250</v>
      </c>
      <c r="H103" s="95">
        <f>COUNTIF($K$101:$K$102,"&gt;0")</f>
        <v>0</v>
      </c>
      <c r="I103" s="96">
        <f>SUM(I101:I102)</f>
        <v>0</v>
      </c>
      <c r="J103" s="96">
        <f>SUM(J101:J102)</f>
        <v>0</v>
      </c>
      <c r="K103" s="96">
        <f>SUM(K101:K102)</f>
        <v>0</v>
      </c>
      <c r="L103" s="97">
        <f>SUM(L101:L102)</f>
        <v>0</v>
      </c>
    </row>
    <row r="104" spans="1:12" ht="30" customHeight="1" x14ac:dyDescent="0.2">
      <c r="B104" s="8"/>
      <c r="C104" s="9"/>
      <c r="D104" s="9"/>
      <c r="E104" s="9"/>
      <c r="F104" s="9"/>
      <c r="G104" s="21"/>
      <c r="H104" s="6"/>
      <c r="L104" s="16"/>
    </row>
    <row r="105" spans="1:12" s="4" customFormat="1" ht="30" customHeight="1" x14ac:dyDescent="0.25">
      <c r="B105" s="7"/>
      <c r="C105" s="7"/>
      <c r="D105" s="7"/>
      <c r="E105" s="7"/>
      <c r="F105" s="7"/>
      <c r="G105" s="25" t="s">
        <v>241</v>
      </c>
      <c r="H105" s="26"/>
      <c r="I105" s="22"/>
      <c r="J105" s="22"/>
      <c r="K105" s="22"/>
      <c r="L105" s="22"/>
    </row>
    <row r="106" spans="1:12" s="28" customFormat="1" ht="15" customHeight="1" x14ac:dyDescent="0.2">
      <c r="A106" s="92" t="s">
        <v>252</v>
      </c>
      <c r="B106" s="93"/>
      <c r="C106" s="98">
        <f>C83+C91+C98+C103</f>
        <v>83</v>
      </c>
      <c r="D106" s="98"/>
      <c r="E106" s="93"/>
      <c r="F106" s="93"/>
      <c r="G106" s="94" t="s">
        <v>251</v>
      </c>
      <c r="H106" s="95">
        <f>H83+H91+H98+H103</f>
        <v>56</v>
      </c>
      <c r="I106" s="96">
        <f>I83+I91+I98+I103</f>
        <v>319572.6399999999</v>
      </c>
      <c r="J106" s="96">
        <f>J83+J91+J98+J103</f>
        <v>241370.94</v>
      </c>
      <c r="K106" s="96">
        <f>K83+K91+K98+K103</f>
        <v>78201.700000000012</v>
      </c>
      <c r="L106" s="97">
        <f>L83+L91+L98+L103</f>
        <v>7523791.2199999997</v>
      </c>
    </row>
    <row r="107" spans="1:12" ht="30" customHeight="1" x14ac:dyDescent="0.2">
      <c r="A107" s="17"/>
      <c r="B107" s="105" t="s">
        <v>37</v>
      </c>
      <c r="C107" s="102"/>
      <c r="D107" s="18"/>
      <c r="E107" s="19"/>
      <c r="F107" s="19"/>
      <c r="H107" s="14" t="s">
        <v>208</v>
      </c>
      <c r="I107" s="20" t="s">
        <v>27</v>
      </c>
      <c r="J107" s="20" t="s">
        <v>26</v>
      </c>
      <c r="K107" s="20" t="s">
        <v>31</v>
      </c>
      <c r="L107" s="20" t="s">
        <v>41</v>
      </c>
    </row>
    <row r="108" spans="1:12" s="28" customFormat="1" ht="14.25" customHeight="1" x14ac:dyDescent="0.2">
      <c r="B108" s="15">
        <v>100410</v>
      </c>
      <c r="C108" s="29" t="s">
        <v>32</v>
      </c>
      <c r="D108" s="29"/>
      <c r="E108" s="65"/>
      <c r="F108" s="65"/>
      <c r="H108" s="34" t="s">
        <v>146</v>
      </c>
      <c r="I108" s="66">
        <f>SUMIF($G$3:$G$104,"Alaska Musicwood Industries",$I$3:$I$104)</f>
        <v>111.9</v>
      </c>
      <c r="J108" s="66">
        <f>SUMIF($G$3:$G$104,"Alaska Musicwood Industries",$J$3:$J$104)</f>
        <v>31.56</v>
      </c>
      <c r="K108" s="66">
        <f>SUMIF($G$3:$G$104,"Alaska Musicwood Industries",$K$3:$K$104)</f>
        <v>80.34</v>
      </c>
      <c r="L108" s="67">
        <f>SUMIF($G$3:$G$104,"Alaska Musicwood Industries",$L$3:$L$104)</f>
        <v>7431.4299999999994</v>
      </c>
    </row>
    <row r="109" spans="1:12" s="28" customFormat="1" ht="14.25" customHeight="1" x14ac:dyDescent="0.2">
      <c r="B109" s="15"/>
      <c r="C109" s="82"/>
      <c r="D109" s="82"/>
      <c r="E109" s="65"/>
      <c r="F109" s="65"/>
      <c r="H109" s="34" t="s">
        <v>210</v>
      </c>
      <c r="I109" s="66">
        <f>SUMIF($G$3:$G$104,"Alaska Tonewood LLC",$I$3:$I$104)</f>
        <v>51.6</v>
      </c>
      <c r="J109" s="66">
        <f>SUMIF($G$3:$G$104,"Alaska Tonewood LLC",$J$3:$J$104)</f>
        <v>0</v>
      </c>
      <c r="K109" s="66">
        <f>SUMIF($G$3:$G$104,"Alaska Tonewood LLC",$K$3:$K$104)</f>
        <v>51.6</v>
      </c>
      <c r="L109" s="67">
        <f>SUMIF($G$3:$G$104,"Alaska Tonewood LLC",$L$3:$L$104)</f>
        <v>2936.05</v>
      </c>
    </row>
    <row r="110" spans="1:12" s="28" customFormat="1" ht="14.25" customHeight="1" x14ac:dyDescent="0.2">
      <c r="B110" s="15">
        <v>100420</v>
      </c>
      <c r="C110" s="29" t="s">
        <v>33</v>
      </c>
      <c r="D110" s="29"/>
      <c r="E110" s="65"/>
      <c r="F110" s="65"/>
      <c r="H110" s="34" t="s">
        <v>5</v>
      </c>
      <c r="I110" s="66">
        <f t="array" ref="I110">SUMIF($G$3:$G$104,"Alcan Forest Products LLP",$I$3:$I$104)</f>
        <v>56521.429999999993</v>
      </c>
      <c r="J110" s="66">
        <f t="array" ref="J110">SUMIF($G$3:$G$104,"Alcan Forest Products LLP",$J$3:$J$104)</f>
        <v>38248.399999999994</v>
      </c>
      <c r="K110" s="66">
        <f t="array" ref="K110">SUMIF($G$3:$G$104,"Alcan Forest Products LLP",$K$3:$K$104)</f>
        <v>18273.03</v>
      </c>
      <c r="L110" s="67">
        <f t="array" ref="L110">SUMIF($G$3:$G$104,"Alcan Forest Products LLP",$L$3:$L$104)</f>
        <v>654907.17999999993</v>
      </c>
    </row>
    <row r="111" spans="1:12" s="28" customFormat="1" ht="14.25" customHeight="1" x14ac:dyDescent="0.2">
      <c r="B111" s="15"/>
      <c r="C111" s="29"/>
      <c r="D111" s="29"/>
      <c r="E111" s="65"/>
      <c r="F111" s="65"/>
      <c r="H111" s="34" t="s">
        <v>165</v>
      </c>
      <c r="I111" s="66">
        <f>SUMIF($G$3:$G$104,"Alcan Timber Inc",$I$3:$I$104)</f>
        <v>3911</v>
      </c>
      <c r="J111" s="66">
        <f>SUMIF($G$3:$G$104,"Alcan Timber Inc",$J$3:$J$104)</f>
        <v>0</v>
      </c>
      <c r="K111" s="66">
        <f>SUMIF($G$3:$G$104,"Alcan Timber Inc",$K$3:$K$104)</f>
        <v>3911</v>
      </c>
      <c r="L111" s="67">
        <f>SUMIF($G$3:$G$104,"Alcan Timber Inc",$L$3:$L$104)</f>
        <v>442529.89</v>
      </c>
    </row>
    <row r="112" spans="1:12" s="28" customFormat="1" ht="14.25" customHeight="1" x14ac:dyDescent="0.2">
      <c r="B112" s="15">
        <v>100430</v>
      </c>
      <c r="C112" s="29" t="s">
        <v>16</v>
      </c>
      <c r="D112" s="29"/>
      <c r="E112" s="65"/>
      <c r="F112" s="65"/>
      <c r="H112" s="34" t="s">
        <v>140</v>
      </c>
      <c r="I112" s="66">
        <f>SUMIF($G$3:$G$104,"Amalgamated Minerals Int Inc",$I$3:$I$104)</f>
        <v>2274</v>
      </c>
      <c r="J112" s="66">
        <f>SUMIF($G$3:$G$104,"Amalgamated Minerals Int Inc",$J$3:$J$104)</f>
        <v>0</v>
      </c>
      <c r="K112" s="66">
        <f>SUMIF($G$3:$G$104,"Amalgamated Minerals Int Inc",$K$3:$K$104)</f>
        <v>2274</v>
      </c>
      <c r="L112" s="67">
        <f>SUMIF($G$3:$G$104,"Amalgamated Minerals Int Inc",$L$3:$L$104)</f>
        <v>461124.53</v>
      </c>
    </row>
    <row r="113" spans="2:12" s="28" customFormat="1" ht="14.25" customHeight="1" x14ac:dyDescent="0.2">
      <c r="B113" s="15">
        <v>100521</v>
      </c>
      <c r="C113" s="29" t="s">
        <v>14</v>
      </c>
      <c r="D113" s="29"/>
      <c r="E113" s="65"/>
      <c r="F113" s="65"/>
      <c r="H113" s="34" t="s">
        <v>272</v>
      </c>
      <c r="I113" s="66">
        <f>SUMIF($G$3:$G$104,"Brent Cole",$I$3:$I$104)</f>
        <v>5.96</v>
      </c>
      <c r="J113" s="66">
        <f>SUMIF($G$3:$G$104,"Brent Cole",$J$3:$J$104)</f>
        <v>0</v>
      </c>
      <c r="K113" s="66">
        <f>SUMIF($G$3:$G$104,"Brent Cole",$K$3:$K$104)</f>
        <v>5.96</v>
      </c>
      <c r="L113" s="67">
        <f>SUMIF($G$3:$G$104,"Brent Cole",$L$3:$L$104)</f>
        <v>325</v>
      </c>
    </row>
    <row r="114" spans="2:12" s="28" customFormat="1" ht="14.25" customHeight="1" x14ac:dyDescent="0.2">
      <c r="B114" s="15">
        <v>100522</v>
      </c>
      <c r="C114" s="29" t="s">
        <v>15</v>
      </c>
      <c r="D114" s="29"/>
      <c r="E114" s="65"/>
      <c r="F114" s="65"/>
      <c r="H114" s="31"/>
      <c r="I114" s="66"/>
      <c r="J114" s="66"/>
      <c r="K114" s="66"/>
      <c r="L114" s="67"/>
    </row>
    <row r="115" spans="2:12" s="28" customFormat="1" ht="14.25" customHeight="1" x14ac:dyDescent="0.2">
      <c r="B115" s="15">
        <v>100531</v>
      </c>
      <c r="C115" s="29" t="s">
        <v>34</v>
      </c>
      <c r="D115" s="29"/>
      <c r="E115" s="65"/>
      <c r="F115" s="65"/>
      <c r="H115" s="34" t="s">
        <v>92</v>
      </c>
      <c r="I115" s="66">
        <f>SUMIF($G$3:$G$104,"City &amp; Borough of Sitka",$I$3:$I$104)</f>
        <v>7582</v>
      </c>
      <c r="J115" s="66">
        <f>SUMIF($G$3:$G$104,"City &amp; Borough of Sitka",$J$3:$J$104)</f>
        <v>7582</v>
      </c>
      <c r="K115" s="66">
        <f>SUMIF($G$3:$G$104,"City &amp; Borough of Sitka",$K$3:$K$104)</f>
        <v>0</v>
      </c>
      <c r="L115" s="67">
        <f>SUMIF($G$3:$G$104,"City &amp; Borough of Sitka",$L$3:$L$104)</f>
        <v>0</v>
      </c>
    </row>
    <row r="116" spans="2:12" s="28" customFormat="1" ht="14.25" customHeight="1" x14ac:dyDescent="0.2">
      <c r="B116" s="15">
        <v>100532</v>
      </c>
      <c r="C116" s="29" t="s">
        <v>10</v>
      </c>
      <c r="D116" s="29"/>
      <c r="E116" s="65"/>
      <c r="F116" s="65"/>
      <c r="H116" s="34" t="s">
        <v>45</v>
      </c>
      <c r="I116" s="66">
        <f>SUMIF($G$3:$G$104,"Commercial Fuelwood",$I$3:$I$104)</f>
        <v>2.5</v>
      </c>
      <c r="J116" s="66">
        <f>SUMIF($G$3:$G$104,"Commercial Fuelwood",$J$3:$J$104)</f>
        <v>0</v>
      </c>
      <c r="K116" s="66">
        <f>SUMIF($G$3:$G$104,"Commercial Fuelwood",$K$3:$K$104)</f>
        <v>2.5</v>
      </c>
      <c r="L116" s="67">
        <f>SUMIF($G$3:$G$104,"Commercial Fuelwood",$L$3:$L$104)</f>
        <v>25</v>
      </c>
    </row>
    <row r="117" spans="2:12" s="28" customFormat="1" ht="14.25" customHeight="1" x14ac:dyDescent="0.2">
      <c r="B117" s="15"/>
      <c r="C117" s="29"/>
      <c r="D117" s="29"/>
      <c r="E117" s="65"/>
      <c r="F117" s="65"/>
      <c r="H117" s="34" t="s">
        <v>23</v>
      </c>
      <c r="I117" s="66">
        <f>SUMIF($G$3:$G$104,"Commercial Sawlog",$I$3:$I$104)</f>
        <v>4.5</v>
      </c>
      <c r="J117" s="66">
        <f>SUMIF($G$3:$G$104,"Commercial Sawlog",$J$3:$J$104)</f>
        <v>0</v>
      </c>
      <c r="K117" s="66">
        <f>SUMIF($G$3:$G$104,"Commercial Sawlog",$K$3:$K$104)</f>
        <v>4.5</v>
      </c>
      <c r="L117" s="67">
        <f>SUMIF($G$3:$G$104,"Commercial Sawlog",$L$3:$L$104)</f>
        <v>45</v>
      </c>
    </row>
    <row r="118" spans="2:12" s="28" customFormat="1" ht="14.25" customHeight="1" x14ac:dyDescent="0.2">
      <c r="B118" s="15">
        <v>100533</v>
      </c>
      <c r="C118" s="29" t="s">
        <v>13</v>
      </c>
      <c r="D118" s="29"/>
      <c r="E118" s="65"/>
      <c r="F118" s="65"/>
      <c r="H118" s="34" t="s">
        <v>42</v>
      </c>
      <c r="I118" s="66">
        <f>SUMIF($G$3:$G$104,"Custom Cut LLC",$I$3:$I$104)</f>
        <v>12</v>
      </c>
      <c r="J118" s="66">
        <f>SUMIF($G$3:$G$104,"Custom Cut LLC",$J$3:$J$104)</f>
        <v>0</v>
      </c>
      <c r="K118" s="66">
        <f t="array" ref="K118">SUMIF($G$3:$G$104,"Custom Cut LLC",$K$3:$K$104)</f>
        <v>12</v>
      </c>
      <c r="L118" s="67">
        <f>SUMIF($G$3:$G$104,"Custom Cut LLC",$L$3:$L$104)</f>
        <v>1512.73</v>
      </c>
    </row>
    <row r="119" spans="2:12" s="28" customFormat="1" ht="14.25" customHeight="1" x14ac:dyDescent="0.2">
      <c r="B119" s="15">
        <v>100534</v>
      </c>
      <c r="C119" s="29" t="s">
        <v>35</v>
      </c>
      <c r="D119" s="29"/>
      <c r="E119" s="65"/>
      <c r="F119" s="65"/>
      <c r="H119" s="34" t="s">
        <v>85</v>
      </c>
      <c r="I119" s="66">
        <f t="array" ref="I119">SUMIF($G$3:$G$104,"Daniel Fanning",$I$3:$I$104)</f>
        <v>77</v>
      </c>
      <c r="J119" s="66">
        <f t="array" ref="J119">SUMIF($G$3:$G$104,"Daniel Fanning",$J$3:$J$104)</f>
        <v>0</v>
      </c>
      <c r="K119" s="66">
        <f t="array" ref="K119">SUMIF($G$3:$G$104,"Daniel Fanning",$K$3:$K$104)</f>
        <v>77</v>
      </c>
      <c r="L119" s="67">
        <f t="array" ref="L119">SUMIF($G$3:$G$104,"Daniel Fanning",$L$3:$L$104)</f>
        <v>3280.71</v>
      </c>
    </row>
    <row r="120" spans="2:12" s="28" customFormat="1" ht="14.25" customHeight="1" x14ac:dyDescent="0.2">
      <c r="B120" s="15">
        <v>100535</v>
      </c>
      <c r="C120" s="29" t="s">
        <v>8</v>
      </c>
      <c r="D120" s="29"/>
      <c r="E120" s="65"/>
      <c r="F120" s="65"/>
      <c r="H120" s="34" t="s">
        <v>195</v>
      </c>
      <c r="I120" s="66">
        <f>SUMIF($G$3:$G$104,"David Lapeyrouse",$I$3:$I$104)</f>
        <v>20.81</v>
      </c>
      <c r="J120" s="66">
        <f>SUMIF($G$3:$G$104,"David Lapeyrouse",$J$3:$J$104)</f>
        <v>0</v>
      </c>
      <c r="K120" s="66">
        <f>SUMIF($G$3:$G$104,"David Lapeyrouse",$K$3:$K$104)</f>
        <v>20.81</v>
      </c>
      <c r="L120" s="67">
        <f>SUMIF($G$3:$G$104,"David Lapeyrouse",$L$3:$L$104)</f>
        <v>1126.45</v>
      </c>
    </row>
    <row r="121" spans="2:12" s="28" customFormat="1" ht="14.25" customHeight="1" x14ac:dyDescent="0.2">
      <c r="B121" s="15">
        <v>100551</v>
      </c>
      <c r="C121" s="29" t="s">
        <v>11</v>
      </c>
      <c r="D121" s="29"/>
      <c r="E121" s="65"/>
      <c r="F121" s="65"/>
      <c r="H121" s="34" t="s">
        <v>47</v>
      </c>
      <c r="I121" s="66">
        <f>SUMIF($G$3:$G$104,"DOT/PF State of Alaska",$I$3:$I$104)</f>
        <v>3601</v>
      </c>
      <c r="J121" s="66">
        <f>SUMIF($G$3:$G$104,"DOT/PF State of Alaska",$J$3:$J$104)</f>
        <v>0</v>
      </c>
      <c r="K121" s="66">
        <f>SUMIF($G$3:$G$104,"DOT/PF State of Alaska",$K$3:$K$104)</f>
        <v>3601</v>
      </c>
      <c r="L121" s="67">
        <f>SUMIF($G$3:$G$104,"DOT/PF State of Alaska",$L$3:$L$104)</f>
        <v>181037.1</v>
      </c>
    </row>
    <row r="122" spans="2:12" s="28" customFormat="1" ht="14.25" customHeight="1" x14ac:dyDescent="0.2">
      <c r="B122" s="15">
        <v>100552</v>
      </c>
      <c r="C122" s="29" t="s">
        <v>12</v>
      </c>
      <c r="D122" s="29"/>
      <c r="E122" s="65"/>
      <c r="F122" s="65"/>
      <c r="H122" s="34" t="s">
        <v>117</v>
      </c>
      <c r="I122" s="66">
        <f>SUMIF($G$3:$G$104,"Evergreen Alaska Inc",$I$3:$I$104)</f>
        <v>650</v>
      </c>
      <c r="J122" s="66">
        <f>SUMIF($G$3:$G$104,"Evergreen Alaska Inc",$J$3:$J$104)</f>
        <v>650</v>
      </c>
      <c r="K122" s="66">
        <f>SUMIF($G$3:$G$104,"Evergreen Alaska Inc",$K$3:$K$104)</f>
        <v>0</v>
      </c>
      <c r="L122" s="67">
        <f>SUMIF($G$3:$G$104,"Evergreen Alaska Inc",$L$3:$L$104)</f>
        <v>0</v>
      </c>
    </row>
    <row r="123" spans="2:12" s="28" customFormat="1" ht="14.25" customHeight="1" x14ac:dyDescent="0.2">
      <c r="B123" s="15">
        <v>100554</v>
      </c>
      <c r="C123" s="29" t="s">
        <v>9</v>
      </c>
      <c r="D123" s="29"/>
      <c r="E123" s="65"/>
      <c r="F123" s="65"/>
      <c r="H123" s="34" t="s">
        <v>141</v>
      </c>
      <c r="I123" s="66">
        <f>SUMIF($G$3:$G$104,"Good Faith Lumber LLC",$I$3:$I$104)</f>
        <v>513.5</v>
      </c>
      <c r="J123" s="66">
        <f>SUMIF($G$3:$G$104,"Good Faith Lumber LLC",$J$3:$J$104)</f>
        <v>46.54</v>
      </c>
      <c r="K123" s="66">
        <f>SUMIF($G$3:$G$104,"Good Faith Lumber LLC",$K$3:$K$104)</f>
        <v>466.96</v>
      </c>
      <c r="L123" s="67">
        <f>SUMIF($G$3:$G$104,"Good Faith Lumber LLC",$L$3:$L$104)</f>
        <v>38607.67</v>
      </c>
    </row>
    <row r="124" spans="2:12" s="28" customFormat="1" ht="14.25" customHeight="1" x14ac:dyDescent="0.2">
      <c r="B124" s="15"/>
      <c r="C124" s="29"/>
      <c r="D124" s="29"/>
      <c r="E124" s="65"/>
      <c r="F124" s="65"/>
      <c r="H124" s="34" t="s">
        <v>86</v>
      </c>
      <c r="I124" s="66">
        <f t="array" ref="I124">SUMIF($G$3:$G$104,"Gordon W Chew",$I$3:$I$104)</f>
        <v>47.28</v>
      </c>
      <c r="J124" s="66">
        <f t="array" ref="J124">SUMIF($G$3:$G$104,"Gordon W Chew",$J$3:$J$104)</f>
        <v>22.11</v>
      </c>
      <c r="K124" s="66">
        <f t="array" ref="K124">SUMIF($G$3:$G$104,"Gordon W Chew",$K$3:$K$104)</f>
        <v>25.17</v>
      </c>
      <c r="L124" s="67">
        <f t="array" ref="L124">SUMIF($G$3:$G$104,"Gordon W Chew",$L$3:$L$104)</f>
        <v>1385.07</v>
      </c>
    </row>
    <row r="125" spans="2:12" s="28" customFormat="1" ht="14.25" customHeight="1" x14ac:dyDescent="0.2">
      <c r="B125" s="15"/>
      <c r="C125" s="29"/>
      <c r="D125" s="29"/>
      <c r="E125" s="65"/>
      <c r="F125" s="65"/>
      <c r="H125" s="34" t="s">
        <v>18</v>
      </c>
      <c r="I125" s="66">
        <f t="array" ref="I125">SUMIF($G$3:$G$104,"H &amp; L Salvage, Inc",$I$3:$I$104)</f>
        <v>625</v>
      </c>
      <c r="J125" s="66">
        <f t="array" ref="J125">SUMIF($G$3:$G$104,"H &amp; L Salvage, Inc",$J$3:$J$104)</f>
        <v>576</v>
      </c>
      <c r="K125" s="66">
        <f t="array" ref="K125">SUMIF($G$3:$G$104,"H &amp; L Salvage, Inc",$K$3:$K$104)</f>
        <v>49</v>
      </c>
      <c r="L125" s="67">
        <f t="array" ref="L125">SUMIF($G$3:$G$104,"H &amp; L Salvage, Inc",$L$3:$L$104)</f>
        <v>3455.79</v>
      </c>
    </row>
    <row r="126" spans="2:12" s="28" customFormat="1" ht="14.25" customHeight="1" x14ac:dyDescent="0.2">
      <c r="B126" s="15"/>
      <c r="C126" s="29"/>
      <c r="D126" s="29"/>
      <c r="E126" s="65"/>
      <c r="F126" s="65"/>
      <c r="H126" s="35" t="s">
        <v>46</v>
      </c>
      <c r="I126" s="66">
        <f>SUMIF($G$3:$G$104,"Hecla Greens Creek Mining",$I$3:$I$104)</f>
        <v>824.33</v>
      </c>
      <c r="J126" s="66">
        <f>SUMIF($G$3:$G$104,"Hecla Greens Creek Mining",$J$3:$J$104)</f>
        <v>169.45</v>
      </c>
      <c r="K126" s="66">
        <f>SUMIF($G$3:$G$104,"Hecla Greens Creek Mining",$K$3:$K$104)</f>
        <v>654.88</v>
      </c>
      <c r="L126" s="67">
        <f>SUMIF($G$3:$G$104,"Hecla Greens Creek Mining",$L$3:$L$104)</f>
        <v>9411.5499999999993</v>
      </c>
    </row>
    <row r="127" spans="2:12" s="28" customFormat="1" ht="14.25" customHeight="1" x14ac:dyDescent="0.2">
      <c r="B127" s="15"/>
      <c r="C127" s="15"/>
      <c r="D127" s="15"/>
      <c r="E127" s="65"/>
      <c r="F127" s="65"/>
      <c r="H127" s="34" t="s">
        <v>50</v>
      </c>
      <c r="I127" s="66">
        <f>SUMIF($G$3:$G$104,"Henry Drechnowicz",$I$3:$I$104)</f>
        <v>159</v>
      </c>
      <c r="J127" s="66">
        <f>SUMIF($G$3:$G$104,"Henry Drechnowicz",$J$3:$J$104)</f>
        <v>51.5</v>
      </c>
      <c r="K127" s="66">
        <f>SUMIF($G$3:$G$104,"Henry Drechnowicz",$K$3:$K$104)</f>
        <v>107.5</v>
      </c>
      <c r="L127" s="67">
        <f>SUMIF($G$3:$G$104,"Henry Drechnowicz",$L$3:$L$104)</f>
        <v>1075</v>
      </c>
    </row>
    <row r="128" spans="2:12" s="28" customFormat="1" ht="14.25" customHeight="1" x14ac:dyDescent="0.2">
      <c r="B128" s="15"/>
      <c r="C128" s="29"/>
      <c r="D128" s="29"/>
      <c r="E128" s="65"/>
      <c r="F128" s="65"/>
      <c r="H128" s="34" t="s">
        <v>6</v>
      </c>
      <c r="I128" s="66">
        <f t="array" ref="I128">SUMIF($G$3:$G$104,"Icy Straits Lumber &amp; Mill",$I$3:$I$104)</f>
        <v>83</v>
      </c>
      <c r="J128" s="66">
        <f t="array" ref="J128">SUMIF($G$3:$G$104,"Icy Straits Lumber &amp; Mill",$J$3:$J$104)</f>
        <v>0</v>
      </c>
      <c r="K128" s="66">
        <f t="array" ref="K128">SUMIF($G$3:$G$104,"Icy Straits Lumber &amp; Mill",$K$3:$K$104)</f>
        <v>83</v>
      </c>
      <c r="L128" s="67">
        <f t="array" ref="L128">SUMIF($G$3:$G$104,"Icy Straits Lumber &amp; Mill",$L$3:$L$104)</f>
        <v>4154.2299999999996</v>
      </c>
    </row>
    <row r="129" spans="2:12" s="28" customFormat="1" ht="14.25" customHeight="1" x14ac:dyDescent="0.2">
      <c r="B129" s="29"/>
      <c r="C129" s="29"/>
      <c r="D129" s="29"/>
      <c r="E129" s="65"/>
      <c r="F129" s="65"/>
      <c r="H129" s="34" t="s">
        <v>19</v>
      </c>
      <c r="I129" s="66">
        <f t="array" ref="I129">SUMIF($G$3:$G$104,"James Harrison",$I$3:$I$104)</f>
        <v>1386.75</v>
      </c>
      <c r="J129" s="66">
        <f t="array" ref="J129">SUMIF($G$3:$G$104,"James Harrison",$J$3:$J$104)</f>
        <v>1383.28</v>
      </c>
      <c r="K129" s="66">
        <f t="array" ref="K129">SUMIF($G$3:$G$104,"James Harrison",$K$3:$K$104)</f>
        <v>3.47</v>
      </c>
      <c r="L129" s="67">
        <f t="array" ref="L129">SUMIF($G$3:$G$104,"James Harrison",$L$3:$L$104)</f>
        <v>209.76</v>
      </c>
    </row>
    <row r="130" spans="2:12" s="28" customFormat="1" ht="14.25" customHeight="1" x14ac:dyDescent="0.2">
      <c r="B130" s="29"/>
      <c r="C130" s="29"/>
      <c r="D130" s="29"/>
      <c r="E130" s="65"/>
      <c r="F130" s="65"/>
      <c r="H130" s="34" t="s">
        <v>56</v>
      </c>
      <c r="I130" s="66">
        <f>SUMIF($G$3:$G$104,"Jerod Cook",$I$3:$I$104)</f>
        <v>177</v>
      </c>
      <c r="J130" s="66">
        <f>SUMIF($G$3:$G$104,"Jerod Cook",$J$3:$J$104)</f>
        <v>34</v>
      </c>
      <c r="K130" s="66">
        <f>SUMIF($G$3:$G$104,"Jerod Cook",$K$3:$K$104)</f>
        <v>143</v>
      </c>
      <c r="L130" s="67">
        <f>SUMIF($G$3:$G$104,"Jerod Cook",$L$3:$L$104)</f>
        <v>1105.7</v>
      </c>
    </row>
    <row r="131" spans="2:12" s="28" customFormat="1" ht="14.25" customHeight="1" x14ac:dyDescent="0.2">
      <c r="B131" s="29"/>
      <c r="C131" s="29"/>
      <c r="D131" s="29"/>
      <c r="E131" s="65"/>
      <c r="F131" s="65"/>
      <c r="H131" s="34" t="s">
        <v>99</v>
      </c>
      <c r="I131" s="66">
        <f>SUMIF($G$3:$G$104,"Jerry Baker",$I$3:$I$104)</f>
        <v>36.43</v>
      </c>
      <c r="J131" s="66">
        <f>SUMIF($G$3:$G$104,"Jerry Baker",$J$3:$J$104)</f>
        <v>16</v>
      </c>
      <c r="K131" s="66">
        <f>SUMIF($G$3:$G$104,"Jerry Baker",$K$3:$K$104)</f>
        <v>20.43</v>
      </c>
      <c r="L131" s="67">
        <f>SUMIF($G$3:$G$104,"Jerry Baker",$L$3:$L$104)</f>
        <v>1300</v>
      </c>
    </row>
    <row r="132" spans="2:12" s="28" customFormat="1" ht="14.25" customHeight="1" x14ac:dyDescent="0.2">
      <c r="B132" s="29"/>
      <c r="C132" s="29"/>
      <c r="D132" s="29"/>
      <c r="E132" s="65"/>
      <c r="F132" s="65"/>
      <c r="H132" s="34" t="s">
        <v>100</v>
      </c>
      <c r="I132" s="66">
        <f>SUMIF($G$3:$G$104,"Jim Colier",$I$3:$I$104)</f>
        <v>20.190000000000001</v>
      </c>
      <c r="J132" s="66">
        <f>SUMIF($G$3:$G$104,"Jim Colier",$J$3:$J$104)</f>
        <v>17</v>
      </c>
      <c r="K132" s="66">
        <f>SUMIF($G$3:$G$104,"Jim Colier",$K$3:$K$104)</f>
        <v>3.19</v>
      </c>
      <c r="L132" s="67">
        <f>SUMIF($G$3:$G$104,"Jim Colier",$L$3:$L$104)</f>
        <v>270.67</v>
      </c>
    </row>
    <row r="133" spans="2:12" s="28" customFormat="1" ht="14.25" customHeight="1" x14ac:dyDescent="0.2">
      <c r="B133" s="29"/>
      <c r="C133" s="29"/>
      <c r="D133" s="29"/>
      <c r="E133" s="65"/>
      <c r="F133" s="65"/>
      <c r="H133" s="34" t="s">
        <v>58</v>
      </c>
      <c r="I133" s="66">
        <f t="array" ref="I133">SUMIF($G$3:$G$104,"John Helliwell",$I$3:$I$104)</f>
        <v>9</v>
      </c>
      <c r="J133" s="66">
        <f t="array" ref="J133">SUMIF($G$3:$G$104,"John Helliwell",$J$3:$J$104)</f>
        <v>9</v>
      </c>
      <c r="K133" s="66">
        <f t="array" ref="K133">SUMIF($G$3:$G$104,"John Helliwell",$K$3:$K$104)</f>
        <v>0</v>
      </c>
      <c r="L133" s="67">
        <f t="array" ref="L133">SUMIF($G$3:$G$104,"John Helliwell",$L$3:$L$104)</f>
        <v>0</v>
      </c>
    </row>
    <row r="134" spans="2:12" s="28" customFormat="1" ht="14.25" customHeight="1" x14ac:dyDescent="0.2">
      <c r="B134" s="29"/>
      <c r="C134" s="29"/>
      <c r="D134" s="29"/>
      <c r="E134" s="65"/>
      <c r="F134" s="65"/>
      <c r="H134" s="34" t="s">
        <v>159</v>
      </c>
      <c r="I134" s="66">
        <f>SUMIF($G$3:$G$104,"K &amp; D Lumber",$I$3:$I$104)</f>
        <v>706.79</v>
      </c>
      <c r="J134" s="66">
        <f>SUMIF($G$3:$G$104,"K &amp; D Lumber",$J$3:$J$104)</f>
        <v>0</v>
      </c>
      <c r="K134" s="66">
        <f>SUMIF($G$3:$G$104,"K &amp; D Lumber",$K$3:$K$104)</f>
        <v>706.79</v>
      </c>
      <c r="L134" s="67">
        <f>SUMIF($G$3:$G$104,"K &amp; D Lumber",$L$3:$L$104)</f>
        <v>66153.989999999991</v>
      </c>
    </row>
    <row r="135" spans="2:12" s="28" customFormat="1" ht="14.25" customHeight="1" x14ac:dyDescent="0.2">
      <c r="B135" s="29"/>
      <c r="C135" s="29"/>
      <c r="D135" s="29"/>
      <c r="E135" s="65"/>
      <c r="F135" s="65"/>
      <c r="H135" s="34"/>
      <c r="I135" s="66"/>
      <c r="J135" s="66"/>
      <c r="K135" s="66"/>
      <c r="L135" s="67"/>
    </row>
    <row r="136" spans="2:12" s="28" customFormat="1" ht="14.25" customHeight="1" x14ac:dyDescent="0.2">
      <c r="B136" s="29"/>
      <c r="C136" s="29"/>
      <c r="D136" s="29"/>
      <c r="E136" s="65"/>
      <c r="F136" s="65"/>
      <c r="H136" s="34"/>
      <c r="I136" s="66"/>
      <c r="J136" s="66"/>
      <c r="K136" s="66"/>
      <c r="L136" s="67"/>
    </row>
    <row r="137" spans="2:12" s="28" customFormat="1" ht="14.25" customHeight="1" x14ac:dyDescent="0.2">
      <c r="B137" s="29"/>
      <c r="C137" s="29"/>
      <c r="D137" s="29"/>
      <c r="E137" s="65"/>
      <c r="F137" s="65"/>
      <c r="H137" s="34" t="s">
        <v>186</v>
      </c>
      <c r="I137" s="66">
        <f>SUMIF($G$3:$G$104,"Kootznoowoo Incorporated",$I$3:$I$104)</f>
        <v>15.2</v>
      </c>
      <c r="J137" s="66">
        <f>SUMIF($G$3:$G$104,"Kootznoowoo Incorporated",$J$3:$J$104)</f>
        <v>0</v>
      </c>
      <c r="K137" s="66">
        <f>SUMIF($G$3:$G$104,"Kootznoowoo Incorporated",$K$3:$K$104)</f>
        <v>15.2</v>
      </c>
      <c r="L137" s="67">
        <f>SUMIF($G$3:$G$104,"Kootznoowoo Incorporated",$L$3:$L$104)</f>
        <v>436.74</v>
      </c>
    </row>
    <row r="138" spans="2:12" s="28" customFormat="1" ht="14.25" customHeight="1" x14ac:dyDescent="0.2">
      <c r="B138" s="29"/>
      <c r="C138" s="29"/>
      <c r="D138" s="29"/>
      <c r="E138" s="65"/>
      <c r="F138" s="65"/>
      <c r="H138" s="34"/>
      <c r="I138" s="66"/>
      <c r="J138" s="66"/>
      <c r="K138" s="66"/>
      <c r="L138" s="67"/>
    </row>
    <row r="139" spans="2:12" s="28" customFormat="1" ht="14.25" customHeight="1" x14ac:dyDescent="0.2">
      <c r="B139" s="29"/>
      <c r="C139" s="29"/>
      <c r="D139" s="29"/>
      <c r="E139" s="65"/>
      <c r="F139" s="65"/>
      <c r="H139" s="34"/>
      <c r="I139" s="66"/>
      <c r="J139" s="66"/>
      <c r="K139" s="66"/>
      <c r="L139" s="67"/>
    </row>
    <row r="140" spans="2:12" s="28" customFormat="1" ht="14.25" customHeight="1" x14ac:dyDescent="0.2">
      <c r="B140" s="29"/>
      <c r="C140" s="29"/>
      <c r="D140" s="29"/>
      <c r="E140" s="65"/>
      <c r="F140" s="65"/>
      <c r="H140" s="34" t="s">
        <v>143</v>
      </c>
      <c r="I140" s="66">
        <f>SUMIF($G$3:$G$104,"Micheal B Allen Jr",$I$3:$I$104)</f>
        <v>1276.3400000000001</v>
      </c>
      <c r="J140" s="66">
        <f>SUMIF($G$3:$G$104,"Micheal B Allen Jr",$J$3:$J$104)</f>
        <v>719.34</v>
      </c>
      <c r="K140" s="66">
        <f>SUMIF($G$3:$G$104,"Micheal B Allen Jr",$K$3:$K$104)</f>
        <v>557</v>
      </c>
      <c r="L140" s="67">
        <f>SUMIF($G$3:$G$104,"Micheal B Allen Jr",$L$3:$L$104)</f>
        <v>28266.21</v>
      </c>
    </row>
    <row r="141" spans="2:12" s="28" customFormat="1" ht="14.25" customHeight="1" x14ac:dyDescent="0.2">
      <c r="B141" s="29"/>
      <c r="C141" s="29"/>
      <c r="D141" s="29"/>
      <c r="E141" s="65"/>
      <c r="F141" s="65"/>
      <c r="H141" s="34" t="s">
        <v>105</v>
      </c>
      <c r="I141" s="66">
        <f>SUMIF($G$3:$G$104,"Northern Wood Products Inc",$I$3:$I$104)</f>
        <v>30</v>
      </c>
      <c r="J141" s="66">
        <f>SUMIF($G$3:$G$104,"Northern Wood Products Inc",$J$3:$J$104)</f>
        <v>0</v>
      </c>
      <c r="K141" s="66">
        <f>SUMIF($G$3:$G$104,"Northern Wood Products Inc",$K$3:$K$104)</f>
        <v>30</v>
      </c>
      <c r="L141" s="67">
        <f>SUMIF($G$3:$G$104,"Northern Wood Products Inc",$L$3:$L$104)</f>
        <v>10105.89</v>
      </c>
    </row>
    <row r="142" spans="2:12" s="28" customFormat="1" ht="14.25" customHeight="1" x14ac:dyDescent="0.2">
      <c r="B142" s="29"/>
      <c r="C142" s="29"/>
      <c r="D142" s="29"/>
      <c r="E142" s="65"/>
      <c r="F142" s="65"/>
      <c r="H142" s="34" t="s">
        <v>4</v>
      </c>
      <c r="I142" s="66">
        <f t="array" ref="I142">SUMIF($G$3:$G$104,"Pacific Log &amp; Lumber Ltd",$I$3:$I$104)</f>
        <v>27438.57</v>
      </c>
      <c r="J142" s="66">
        <f t="array" ref="J142">SUMIF($G$3:$G$104,"Pacific Log &amp; Lumber Ltd",$J$3:$J$104)</f>
        <v>27438.57</v>
      </c>
      <c r="K142" s="66">
        <f t="array" ref="K142">SUMIF($G$3:$G$104,"Pacific Log &amp; Lumber Ltd",$K$3:$K$104)</f>
        <v>0</v>
      </c>
      <c r="L142" s="67">
        <f t="array" ref="L142">SUMIF($G$3:$G$104,"Pacific Log &amp; Lumber Ltd",$L$3:$L$104)</f>
        <v>0</v>
      </c>
    </row>
    <row r="143" spans="2:12" s="28" customFormat="1" ht="14.25" customHeight="1" x14ac:dyDescent="0.2">
      <c r="B143" s="29"/>
      <c r="C143" s="29"/>
      <c r="D143" s="29"/>
      <c r="E143" s="65"/>
      <c r="F143" s="65"/>
      <c r="H143" s="34" t="s">
        <v>2</v>
      </c>
      <c r="I143" s="66">
        <f t="array" ref="I143">SUMIF($G$3:$G$104,"Porter Lumber",$I$3:$I$104)</f>
        <v>906</v>
      </c>
      <c r="J143" s="66">
        <f t="array" ref="J143">SUMIF($G$3:$G$104,"Porter Lumber",$J$3:$J$104)</f>
        <v>646.39</v>
      </c>
      <c r="K143" s="66">
        <f t="array" ref="K143">SUMIF($G$3:$G$104,"Porter Lumber",$K$3:$K$104)</f>
        <v>259.61</v>
      </c>
      <c r="L143" s="67">
        <f t="array" ref="L143">SUMIF($G$3:$G$104,"Porter Lumber",$L$3:$L$104)</f>
        <v>14767.03</v>
      </c>
    </row>
    <row r="144" spans="2:12" s="28" customFormat="1" ht="14.25" customHeight="1" x14ac:dyDescent="0.2">
      <c r="B144" s="29"/>
      <c r="C144" s="29"/>
      <c r="D144" s="29"/>
      <c r="E144" s="65"/>
      <c r="F144" s="65"/>
      <c r="H144" s="34" t="s">
        <v>73</v>
      </c>
      <c r="I144" s="66">
        <f>SUMIF($G$3:$G$104,"Ralph Dean Blankenship",$I$3:$I$104)</f>
        <v>4825.01</v>
      </c>
      <c r="J144" s="66">
        <f>SUMIF($G$3:$G$104,"Ralph Dean Blankenship",$J$3:$J$104)</f>
        <v>2985.65</v>
      </c>
      <c r="K144" s="66">
        <f>SUMIF($G$3:$G$104,"Ralph Dean Blankenship",$K$3:$K$104)</f>
        <v>1839.36</v>
      </c>
      <c r="L144" s="67">
        <f>SUMIF($G$3:$G$104,"Ralph Dean Blankenship",$L$3:$L$104)</f>
        <v>447967.37</v>
      </c>
    </row>
    <row r="145" spans="2:12" s="28" customFormat="1" ht="14.25" customHeight="1" x14ac:dyDescent="0.2">
      <c r="B145" s="29"/>
      <c r="C145" s="29"/>
      <c r="D145" s="29"/>
      <c r="E145" s="65"/>
      <c r="F145" s="65"/>
      <c r="H145" s="34" t="s">
        <v>261</v>
      </c>
      <c r="I145" s="66">
        <f>SUMIF($G$3:$G$104,"Robert Patten",$I$3:$I$104)</f>
        <v>2.4</v>
      </c>
      <c r="J145" s="66">
        <f>SUMIF($G$3:$G$104,"Robert Patten",$J$3:$J$104)</f>
        <v>2.4</v>
      </c>
      <c r="K145" s="66">
        <f>SUMIF($G$3:$G$104,"Robert Patten",$K$3:$K$104)</f>
        <v>0</v>
      </c>
      <c r="L145" s="67">
        <f>SUMIF($G$3:$G$104,"Robert Patten",$L$3:$L$104)</f>
        <v>0</v>
      </c>
    </row>
    <row r="146" spans="2:12" s="28" customFormat="1" ht="14.25" customHeight="1" x14ac:dyDescent="0.2">
      <c r="B146" s="29"/>
      <c r="C146" s="29"/>
      <c r="D146" s="29"/>
      <c r="E146" s="65"/>
      <c r="F146" s="65"/>
      <c r="H146" s="34" t="s">
        <v>169</v>
      </c>
      <c r="I146" s="66">
        <f>SUMIF($G$3:$G$104,"Raymond Clavel",$I$3:$I$104)</f>
        <v>7.33</v>
      </c>
      <c r="J146" s="66">
        <f>SUMIF($G$3:$G$104,"Raymond Clavel",$J$3:$J$104)</f>
        <v>0</v>
      </c>
      <c r="K146" s="66">
        <f>SUMIF($G$3:$G$104,"Raymond Clavel",$K$3:$K$104)</f>
        <v>7.33</v>
      </c>
      <c r="L146" s="67">
        <f>SUMIF($G$3:$G$104,"Raymond Clavel",$L$3:$L$104)</f>
        <v>829.74</v>
      </c>
    </row>
    <row r="147" spans="2:12" s="28" customFormat="1" ht="14.25" customHeight="1" x14ac:dyDescent="0.2">
      <c r="B147" s="29"/>
      <c r="C147" s="29"/>
      <c r="D147" s="29"/>
      <c r="E147" s="65"/>
      <c r="F147" s="65"/>
      <c r="H147" s="34" t="s">
        <v>87</v>
      </c>
      <c r="I147" s="66">
        <f>SUMIF($G$3:$G$104,"Scott Hill",$I$3:$I$104)</f>
        <v>493</v>
      </c>
      <c r="J147" s="66">
        <f>SUMIF($G$3:$G$104,"Scott Hill",$J$3:$J$104)</f>
        <v>493</v>
      </c>
      <c r="K147" s="66">
        <f>SUMIF($G$3:$G$104,"Scott Hill",$K$3:$K$104)</f>
        <v>0</v>
      </c>
      <c r="L147" s="67">
        <f>SUMIF($G$3:$G$104,"Scott Hill",$L$3:$L$104)</f>
        <v>0</v>
      </c>
    </row>
    <row r="148" spans="2:12" s="28" customFormat="1" ht="14.25" customHeight="1" x14ac:dyDescent="0.2">
      <c r="B148" s="29"/>
      <c r="C148" s="29"/>
      <c r="D148" s="29"/>
      <c r="E148" s="65"/>
      <c r="F148" s="65"/>
      <c r="H148" s="34" t="s">
        <v>176</v>
      </c>
      <c r="I148" s="66">
        <f>SUMIF($G$3:$G$104,"T.L.C. Management, LLC",$I$3:$I$104)</f>
        <v>29.34</v>
      </c>
      <c r="J148" s="66">
        <f>SUMIF($G$3:$G$104,"T.L.C. Management, LLC",$J$3:$J$104)</f>
        <v>0</v>
      </c>
      <c r="K148" s="66">
        <f>SUMIF($G$3:$G$104,"T.L.C. Management, LLC",$K$3:$K$104)</f>
        <v>29.34</v>
      </c>
      <c r="L148" s="67">
        <f>SUMIF($G$3:$G$104,"T.L.C. Management, LLC",$L$3:$L$104)</f>
        <v>317.45999999999998</v>
      </c>
    </row>
    <row r="149" spans="2:12" s="28" customFormat="1" ht="14.25" customHeight="1" x14ac:dyDescent="0.2">
      <c r="B149" s="29"/>
      <c r="C149" s="29"/>
      <c r="D149" s="29"/>
      <c r="E149" s="65"/>
      <c r="F149" s="65"/>
      <c r="H149" s="34" t="s">
        <v>51</v>
      </c>
      <c r="I149" s="66">
        <f>SUMIF($G$3:$G$104,"St. Nick Forest Products",$I$3:$I$104)</f>
        <v>198</v>
      </c>
      <c r="J149" s="66">
        <f>SUMIF($G$3:$G$104,"St. Nick Forest Products",$J$3:$J$104)</f>
        <v>0</v>
      </c>
      <c r="K149" s="66">
        <f>SUMIF($G$3:$G$104,"St. Nick Forest Products",$K$3:$K$104)</f>
        <v>198</v>
      </c>
      <c r="L149" s="67">
        <f>SUMIF($G$3:$G$104,"St. Nick Forest Products",$L$3:$L$104)</f>
        <v>30230.400000000001</v>
      </c>
    </row>
    <row r="150" spans="2:12" s="28" customFormat="1" ht="14.25" customHeight="1" x14ac:dyDescent="0.2">
      <c r="B150" s="29"/>
      <c r="C150" s="29"/>
      <c r="D150" s="29"/>
      <c r="E150" s="65"/>
      <c r="F150" s="65"/>
      <c r="H150" s="68" t="s">
        <v>84</v>
      </c>
      <c r="I150" s="66">
        <f>SUMIF($G$3:$G$97,"TM Construction, Inc
TM Construction, Inc",$I$3:$I$97)</f>
        <v>118.66</v>
      </c>
      <c r="J150" s="66">
        <f>SUMIF($G$3:$G$97,"TM Construction, Inc
TM Construction, Inc",$J$3:$J$97)</f>
        <v>20</v>
      </c>
      <c r="K150" s="66">
        <f>SUMIF($G$3:$G$97,"TM Construction, Inc
TM Construction, Inc",$K$3:$K$97)</f>
        <v>98.66</v>
      </c>
      <c r="L150" s="67">
        <f>SUMIF($G$3:$G$97,"TM Construction, Inc
TM Construction, Inc",$L$3:$L$97)</f>
        <v>3209.87</v>
      </c>
    </row>
    <row r="151" spans="2:12" s="28" customFormat="1" ht="14.25" customHeight="1" x14ac:dyDescent="0.2">
      <c r="B151" s="29"/>
      <c r="C151" s="29"/>
      <c r="D151" s="29"/>
      <c r="E151" s="65"/>
      <c r="F151" s="65"/>
      <c r="H151" s="34" t="s">
        <v>21</v>
      </c>
      <c r="I151" s="66">
        <f t="array" ref="I151">SUMIF($G$3:$G$104,"Viking Lumber Company",$I$3:$I$104)</f>
        <v>203716.27000000002</v>
      </c>
      <c r="J151" s="66">
        <f t="array" ref="J151">SUMIF($G$3:$G$104,"Viking Lumber Company",$J$3:$J$104)</f>
        <v>160180.10999999999</v>
      </c>
      <c r="K151" s="66">
        <f t="array" ref="K151">SUMIF($G$3:$G$104,"Viking Lumber Company",$K$3:$K$104)</f>
        <v>43536.160000000003</v>
      </c>
      <c r="L151" s="67">
        <f t="array" ref="L151">SUMIF($G$3:$G$104,"Viking Lumber Company",$L$3:$L$104)</f>
        <v>4940275.1899999995</v>
      </c>
    </row>
    <row r="152" spans="2:12" s="28" customFormat="1" ht="14.25" customHeight="1" x14ac:dyDescent="0.2">
      <c r="B152" s="29"/>
      <c r="C152" s="29"/>
      <c r="D152" s="29"/>
      <c r="E152" s="65"/>
      <c r="F152" s="65"/>
      <c r="H152" s="34" t="s">
        <v>114</v>
      </c>
      <c r="I152" s="66">
        <f>SUMIF($G$3:$G$104,"Wesley B Johnson",$I$3:$I$104)</f>
        <v>1</v>
      </c>
      <c r="J152" s="66">
        <f>SUMIF($G$3:$G$104,"Wesley B Johnson",$J$3:$J$104)</f>
        <v>1</v>
      </c>
      <c r="K152" s="66">
        <f>SUMIF($G$3:$G$104,"Wesley B Johnson",$K$3:$K$104)</f>
        <v>0</v>
      </c>
      <c r="L152" s="67">
        <f>SUMIF($G$3:$G$104,"Wesley B Johnson",$L$3:$L$104)</f>
        <v>0</v>
      </c>
    </row>
    <row r="153" spans="2:12" s="28" customFormat="1" ht="14.25" customHeight="1" x14ac:dyDescent="0.2">
      <c r="B153" s="29"/>
      <c r="C153" s="29"/>
      <c r="D153" s="29"/>
      <c r="E153" s="65"/>
      <c r="F153" s="65"/>
      <c r="H153" s="34" t="s">
        <v>202</v>
      </c>
      <c r="I153" s="66">
        <f>SUMIF($G$3:$G$104,"Western Gold Cedar Products",$I$3:$I$104)</f>
        <v>1078.92</v>
      </c>
      <c r="J153" s="66">
        <f>SUMIF($G$3:$G$104,"Western Gold Cedar Products",$J$3:$J$104)</f>
        <v>29.67</v>
      </c>
      <c r="K153" s="66">
        <f>SUMIF($G$3:$G$104,"Western Gold Cedar Products",$K$3:$K$104)</f>
        <v>1049.25</v>
      </c>
      <c r="L153" s="67">
        <f>SUMIF($G$3:$G$104,"Western Gold Cedar Products",$L$3:$L$104)</f>
        <v>163756.70000000001</v>
      </c>
    </row>
    <row r="154" spans="2:12" s="28" customFormat="1" ht="14.25" customHeight="1" x14ac:dyDescent="0.2">
      <c r="B154" s="29"/>
      <c r="C154" s="29"/>
      <c r="D154" s="29"/>
      <c r="E154" s="65"/>
      <c r="F154" s="65"/>
      <c r="H154" s="34" t="s">
        <v>135</v>
      </c>
      <c r="I154" s="66">
        <f>SUMIF($G$3:$G$104,"William C Musser",$I$3:$I$104)</f>
        <v>8.49</v>
      </c>
      <c r="J154" s="66">
        <f>SUMIF($G$3:$G$104,"William C Musser",$J$3:$J$104)</f>
        <v>5.97</v>
      </c>
      <c r="K154" s="66">
        <f>SUMIF($G$3:$G$104,"William C Musser",$K$3:$K$104)</f>
        <v>2.52</v>
      </c>
      <c r="L154" s="67">
        <f>SUMIF($G$3:$G$104,"William C Musser",$L$3:$L$104)</f>
        <v>136.41</v>
      </c>
    </row>
    <row r="155" spans="2:12" s="28" customFormat="1" ht="14.25" customHeight="1" x14ac:dyDescent="0.2">
      <c r="B155" s="88"/>
      <c r="C155" s="88"/>
      <c r="D155" s="88"/>
      <c r="E155" s="65"/>
      <c r="F155" s="65"/>
      <c r="H155" s="34" t="s">
        <v>30</v>
      </c>
      <c r="I155" s="66">
        <f t="array" ref="I155">SUMIF($G$3:$G$104,"William Kaufman",$I$3:$I$104)</f>
        <v>13.14</v>
      </c>
      <c r="J155" s="66">
        <f t="array" ref="J155">SUMIF($G$3:$G$104,"William Kaufman",$J$3:$J$104)</f>
        <v>12</v>
      </c>
      <c r="K155" s="66">
        <f t="array" ref="K155">SUMIF($G$3:$G$104,"William Kaufman",$K$3:$K$104)</f>
        <v>1.1399999999999999</v>
      </c>
      <c r="L155" s="67">
        <f t="array" ref="L155">SUMIF($G$3:$G$104,"William Kaufman",$L$3:$L$104)</f>
        <v>61.71</v>
      </c>
    </row>
    <row r="156" spans="2:12" s="28" customFormat="1" ht="14.25" customHeight="1" x14ac:dyDescent="0.2">
      <c r="B156" s="29"/>
      <c r="C156" s="29"/>
      <c r="D156" s="29"/>
      <c r="E156" s="65"/>
      <c r="F156" s="65"/>
      <c r="H156" s="34" t="s">
        <v>253</v>
      </c>
      <c r="I156" s="66">
        <f>SUMIF($G$3:$G$104,"Zach Laperriere",$I$3:$I$104)</f>
        <v>1</v>
      </c>
      <c r="J156" s="66">
        <f>SUMIF($G$3:$G$104,"Zach Laperriere",$J$3:$J$104)</f>
        <v>0</v>
      </c>
      <c r="K156" s="66">
        <f>SUMIF($G$3:$G$104,"Zach Laperriere",$K$3:$K$104)</f>
        <v>1</v>
      </c>
      <c r="L156" s="67">
        <f>SUMIF($G$3:$G$104,"Zach Laperriere",$L$3:$L$104)</f>
        <v>20</v>
      </c>
    </row>
    <row r="157" spans="2:12" s="28" customFormat="1" ht="14.25" customHeight="1" x14ac:dyDescent="0.2">
      <c r="B157" s="29"/>
      <c r="C157" s="29"/>
      <c r="D157" s="29"/>
      <c r="E157" s="65"/>
      <c r="F157" s="65"/>
    </row>
    <row r="158" spans="2:12" s="28" customFormat="1" ht="14.25" customHeight="1" x14ac:dyDescent="0.2">
      <c r="B158" s="29"/>
      <c r="C158" s="29"/>
      <c r="D158" s="29"/>
      <c r="E158" s="65"/>
      <c r="F158" s="65"/>
      <c r="I158" s="66"/>
      <c r="J158" s="66"/>
      <c r="K158" s="66"/>
      <c r="L158" s="67"/>
    </row>
    <row r="159" spans="2:12" x14ac:dyDescent="0.2">
      <c r="H159" s="69"/>
      <c r="I159" s="47">
        <f>SUM(I108:I156)</f>
        <v>319572.63999999996</v>
      </c>
      <c r="J159" s="47">
        <f>SUM(J108:J158)</f>
        <v>241370.93999999997</v>
      </c>
      <c r="K159" s="47">
        <f>SUM(K108:K158)</f>
        <v>78201.700000000012</v>
      </c>
      <c r="L159" s="48">
        <f>SUM(L108:L158)</f>
        <v>7523791.2199999997</v>
      </c>
    </row>
    <row r="160" spans="2:12" ht="30" customHeight="1" x14ac:dyDescent="0.2"/>
    <row r="161" spans="1:12" ht="30" customHeight="1" x14ac:dyDescent="0.2">
      <c r="A161" s="17"/>
      <c r="B161" s="103"/>
      <c r="C161" s="104"/>
      <c r="D161" s="18"/>
      <c r="E161" s="19"/>
      <c r="F161" s="19"/>
      <c r="H161" s="14" t="s">
        <v>220</v>
      </c>
      <c r="I161" s="20" t="s">
        <v>27</v>
      </c>
      <c r="J161" s="20" t="s">
        <v>26</v>
      </c>
      <c r="K161" s="20" t="s">
        <v>31</v>
      </c>
      <c r="L161" s="20" t="s">
        <v>41</v>
      </c>
    </row>
    <row r="162" spans="1:12" ht="15.6" customHeight="1" x14ac:dyDescent="0.2">
      <c r="A162" s="17"/>
      <c r="B162" s="86"/>
      <c r="C162" s="87"/>
      <c r="D162" s="18"/>
      <c r="E162" s="19"/>
      <c r="F162" s="19"/>
      <c r="H162" s="90" t="s">
        <v>0</v>
      </c>
      <c r="I162" s="89"/>
      <c r="J162" s="89"/>
      <c r="K162" s="89"/>
      <c r="L162" s="89"/>
    </row>
    <row r="163" spans="1:12" s="28" customFormat="1" x14ac:dyDescent="0.2">
      <c r="B163" s="15"/>
      <c r="C163" s="29"/>
      <c r="D163" s="29"/>
      <c r="E163" s="65"/>
      <c r="F163" s="65"/>
      <c r="H163" s="46" t="s">
        <v>217</v>
      </c>
      <c r="I163" s="66">
        <f>SUMIF($B$3:$B$104,"100410",$I$3:$I$104)</f>
        <v>0</v>
      </c>
      <c r="J163" s="66">
        <f>SUMIF($B$3:$B$104,"100410",$J$3:$J$104)</f>
        <v>0</v>
      </c>
      <c r="K163" s="66">
        <f>SUMIF($B$3:$B$104,"100410",$K$3:$K$104)</f>
        <v>0</v>
      </c>
      <c r="L163" s="67">
        <f>SUMIF($B$3:$B$104,"100410",$L$3:$L$104)</f>
        <v>0</v>
      </c>
    </row>
    <row r="164" spans="1:12" s="28" customFormat="1" x14ac:dyDescent="0.2">
      <c r="B164" s="15"/>
      <c r="C164" s="29"/>
      <c r="D164" s="29"/>
      <c r="E164" s="65"/>
      <c r="F164" s="65"/>
      <c r="H164" s="46" t="s">
        <v>218</v>
      </c>
      <c r="I164" s="66">
        <f t="array" ref="I164">SUMIF($B$3:$B$104,"100420",$I$3:$I$104)</f>
        <v>0</v>
      </c>
      <c r="J164" s="66">
        <f t="array" ref="J164">SUMIF($B$3:$B$104,"100420",$J$3:$J$104)</f>
        <v>0</v>
      </c>
      <c r="K164" s="66">
        <f>SUMIF($B$3:$B$104,"100420",$K$3:$K$104)</f>
        <v>0</v>
      </c>
      <c r="L164" s="67">
        <f t="array" ref="L164">SUMIF($B$3:$B$104,"100420",$L$3:$L$104)</f>
        <v>0</v>
      </c>
    </row>
    <row r="165" spans="1:12" s="28" customFormat="1" x14ac:dyDescent="0.2">
      <c r="B165" s="15"/>
      <c r="C165" s="29"/>
      <c r="D165" s="29"/>
      <c r="E165" s="65"/>
      <c r="F165" s="65"/>
      <c r="H165" s="46" t="s">
        <v>219</v>
      </c>
      <c r="I165" s="66">
        <f t="array" ref="I165">SUMIF($B$3:$B$104,"100430",$I$3:$I$104)</f>
        <v>809</v>
      </c>
      <c r="J165" s="66">
        <f t="array" ref="J165">SUMIF($B$3:$B$104,"100430",$J$3:$J$104)</f>
        <v>701.5</v>
      </c>
      <c r="K165" s="66">
        <f t="array" ref="K165">SUMIF($B$3:$B$104,"100430",$K$3:$K$104)</f>
        <v>107.5</v>
      </c>
      <c r="L165" s="67">
        <f t="array" ref="L165">SUMIF($B$3:$B$104,"100430",$L$3:$L$104)</f>
        <v>1075</v>
      </c>
    </row>
    <row r="166" spans="1:12" s="28" customFormat="1" x14ac:dyDescent="0.2">
      <c r="B166" s="15"/>
      <c r="C166" s="86"/>
      <c r="D166" s="86"/>
      <c r="E166" s="65"/>
      <c r="F166" s="65"/>
      <c r="H166" s="91" t="s">
        <v>3</v>
      </c>
      <c r="I166" s="66"/>
      <c r="J166" s="66"/>
      <c r="K166" s="66"/>
      <c r="L166" s="67"/>
    </row>
    <row r="167" spans="1:12" s="28" customFormat="1" x14ac:dyDescent="0.2">
      <c r="B167" s="15"/>
      <c r="C167" s="29"/>
      <c r="D167" s="29"/>
      <c r="E167" s="65"/>
      <c r="F167" s="65"/>
      <c r="H167" s="46" t="s">
        <v>221</v>
      </c>
      <c r="I167" s="66">
        <f t="array" ref="I167">SUMIF($B$3:$B$104,"100521",$I$3:$I$104)</f>
        <v>66583.33</v>
      </c>
      <c r="J167" s="66">
        <f t="array" ref="J167">SUMIF($B$3:$B$104,"100521",$J$3:$J$104)</f>
        <v>66440.33</v>
      </c>
      <c r="K167" s="66">
        <f t="array" ref="K167">SUMIF($B$3:$B$104,"100521",$K$3:$K$104)</f>
        <v>143</v>
      </c>
      <c r="L167" s="67">
        <f t="array" ref="L167">SUMIF($B$3:$B$104,"100521",$L$3:$L$104)</f>
        <v>1105.7</v>
      </c>
    </row>
    <row r="168" spans="1:12" s="28" customFormat="1" x14ac:dyDescent="0.2">
      <c r="B168" s="15"/>
      <c r="C168" s="29"/>
      <c r="D168" s="29"/>
      <c r="E168" s="65"/>
      <c r="F168" s="65"/>
      <c r="H168" s="46" t="s">
        <v>222</v>
      </c>
      <c r="I168" s="66">
        <f t="array" ref="I168">SUMIF($B$3:$B$104,"100522",$I$3:$I$104)</f>
        <v>48519.45</v>
      </c>
      <c r="J168" s="66">
        <f t="array" ref="J168">SUMIF($B$3:$B$104,"100522",$J$3:$J$104)</f>
        <v>30538.639999999999</v>
      </c>
      <c r="K168" s="66">
        <f t="array" ref="K168">SUMIF($B$3:$B$104,"100522",$K$3:$K$104)</f>
        <v>17980.809999999998</v>
      </c>
      <c r="L168" s="67">
        <f t="array" ref="L168">SUMIF($B$3:$B$104,"100522",$L$3:$L$104)</f>
        <v>670879.53999999992</v>
      </c>
    </row>
    <row r="169" spans="1:12" s="28" customFormat="1" x14ac:dyDescent="0.2">
      <c r="B169" s="15"/>
      <c r="C169" s="29"/>
      <c r="D169" s="29"/>
      <c r="E169" s="65"/>
      <c r="F169" s="65"/>
      <c r="H169" s="46" t="s">
        <v>223</v>
      </c>
      <c r="I169" s="66">
        <f t="array" ref="I169">SUMIF($B$3:$B$104,"100531",$I$3:$I$104)</f>
        <v>7778.28</v>
      </c>
      <c r="J169" s="66">
        <f t="array" ref="J169">SUMIF($B$3:$B$104,"100531",$J$3:$J$104)</f>
        <v>7624.11</v>
      </c>
      <c r="K169" s="66">
        <f t="array" ref="K169">SUMIF($B$3:$B$104,"100531",$K$3:$K$104)</f>
        <v>154.17000000000002</v>
      </c>
      <c r="L169" s="67">
        <f t="array" ref="L169">SUMIF($B$3:$B$104,"100531",$L$3:$L$104)</f>
        <v>4932.3999999999996</v>
      </c>
    </row>
    <row r="170" spans="1:12" s="28" customFormat="1" x14ac:dyDescent="0.2">
      <c r="B170" s="15"/>
      <c r="C170" s="29"/>
      <c r="D170" s="29"/>
      <c r="E170" s="65"/>
      <c r="F170" s="65"/>
      <c r="H170" s="46" t="s">
        <v>224</v>
      </c>
      <c r="I170" s="66">
        <f t="array" ref="I170">SUMIF($B$3:$B$104,"100532",$I$3:$I$104)</f>
        <v>160</v>
      </c>
      <c r="J170" s="66">
        <f t="array" ref="J170">SUMIF($B$3:$B$104,"100532",$J$3:$J$104)</f>
        <v>0</v>
      </c>
      <c r="K170" s="66">
        <f t="array" ref="K170">SUMIF($B$3:$B$104,"100532",$K$3:$K$104)</f>
        <v>160</v>
      </c>
      <c r="L170" s="67">
        <f t="array" ref="L170">SUMIF($B$3:$B$104,"100532",$L$3:$L$104)</f>
        <v>7434.94</v>
      </c>
    </row>
    <row r="171" spans="1:12" s="28" customFormat="1" x14ac:dyDescent="0.2">
      <c r="B171" s="15"/>
      <c r="C171" s="29"/>
      <c r="D171" s="29"/>
      <c r="E171" s="65"/>
      <c r="F171" s="65"/>
      <c r="H171" s="46" t="s">
        <v>225</v>
      </c>
      <c r="I171" s="66">
        <f t="array" ref="I171">SUMIF($B$3:$B$104,"100533",$I$3:$I$104)</f>
        <v>4425.33</v>
      </c>
      <c r="J171" s="66">
        <f t="array" ref="J171">SUMIF($B$3:$B$104,"100533",$J$3:$J$104)</f>
        <v>169.45</v>
      </c>
      <c r="K171" s="66">
        <f>SUMIF($B$3:$B$104,"100533",$K$3:$K$104)</f>
        <v>4255.88</v>
      </c>
      <c r="L171" s="67">
        <f t="array" ref="L171">SUMIF($B$3:$B$104,"100533",$L$3:$L$104)</f>
        <v>190448.65</v>
      </c>
    </row>
    <row r="172" spans="1:12" s="28" customFormat="1" x14ac:dyDescent="0.2">
      <c r="B172" s="15"/>
      <c r="C172" s="29"/>
      <c r="D172" s="29"/>
      <c r="E172" s="65"/>
      <c r="F172" s="65"/>
      <c r="H172" s="46" t="s">
        <v>226</v>
      </c>
      <c r="I172" s="66">
        <f>SUMIF($B$3:$B$104,"100534",$I$3:$I$104)</f>
        <v>15.2</v>
      </c>
      <c r="J172" s="66">
        <f>SUMIF($B$3:$B$104,"100534",$J$3:$J$104)</f>
        <v>0</v>
      </c>
      <c r="K172" s="66">
        <f>SUMIF($B$3:$B$104,"100534",$K$3:$K$104)</f>
        <v>15.2</v>
      </c>
      <c r="L172" s="67">
        <f t="array" ref="L172">SUMIF($B$3:$B$104,"100534",$L$3:$L$104)</f>
        <v>436.74</v>
      </c>
    </row>
    <row r="173" spans="1:12" s="28" customFormat="1" x14ac:dyDescent="0.2">
      <c r="B173" s="15"/>
      <c r="C173" s="29"/>
      <c r="D173" s="29"/>
      <c r="E173" s="65"/>
      <c r="F173" s="65"/>
      <c r="H173" s="46" t="s">
        <v>227</v>
      </c>
      <c r="I173" s="66">
        <f t="array" ref="I173">SUMIF($B$3:$B$104,"100535",$I$3:$I$104)</f>
        <v>0</v>
      </c>
      <c r="J173" s="66">
        <f t="array" ref="J173">SUMIF($B$3:$B$104,"100535",$J$3:$J$104)</f>
        <v>0</v>
      </c>
      <c r="K173" s="66">
        <f>SUMIF($B$3:$B$104,"100535",$K$3:$K$104)</f>
        <v>0</v>
      </c>
      <c r="L173" s="67">
        <f t="array" ref="L173">SUMIF($B$3:$B$104,"100535",$L$3:$L$104)</f>
        <v>0</v>
      </c>
    </row>
    <row r="174" spans="1:12" s="28" customFormat="1" x14ac:dyDescent="0.2">
      <c r="B174" s="15"/>
      <c r="C174" s="29"/>
      <c r="D174" s="29"/>
      <c r="E174" s="65"/>
      <c r="F174" s="65"/>
      <c r="H174" s="46" t="s">
        <v>228</v>
      </c>
      <c r="I174" s="66">
        <f t="array" ref="I174">SUMIF($B$3:$B$104,"100551",$I$3:$I$104)</f>
        <v>36.43</v>
      </c>
      <c r="J174" s="66">
        <f t="array" ref="J174">SUMIF($B$3:$B$104,"100551",$J$3:$J$104)</f>
        <v>16</v>
      </c>
      <c r="K174" s="66">
        <f t="array" ref="K174">SUMIF($B$3:$B$104,"100551",$K$3:$K$104)</f>
        <v>20.43</v>
      </c>
      <c r="L174" s="67">
        <f t="array" ref="L174">SUMIF($B$3:$B$104,"100551",$L$3:$L$104)</f>
        <v>1300</v>
      </c>
    </row>
    <row r="175" spans="1:12" s="28" customFormat="1" x14ac:dyDescent="0.2">
      <c r="B175" s="15"/>
      <c r="C175" s="29"/>
      <c r="D175" s="29"/>
      <c r="E175" s="65"/>
      <c r="F175" s="65"/>
      <c r="H175" s="46" t="s">
        <v>229</v>
      </c>
      <c r="I175" s="66">
        <f t="array" ref="I175">SUMIF($B$3:$B$104,"100552",$I$3:$I$104)</f>
        <v>27468.57</v>
      </c>
      <c r="J175" s="66">
        <f t="array" ref="J175">SUMIF($B$3:$B$104,"100552",$J$3:$J$104)</f>
        <v>27438.57</v>
      </c>
      <c r="K175" s="66">
        <f t="array" ref="K175">SUMIF($B$3:$B$104,"100552",$K$3:$K$104)</f>
        <v>30</v>
      </c>
      <c r="L175" s="67">
        <f>SUMIF($B$3:$B$104,"100552",$L$3:$L$104)</f>
        <v>10105.89</v>
      </c>
    </row>
    <row r="176" spans="1:12" s="28" customFormat="1" x14ac:dyDescent="0.2">
      <c r="B176" s="15"/>
      <c r="C176" s="29"/>
      <c r="D176" s="29"/>
      <c r="E176" s="65"/>
      <c r="F176" s="65"/>
      <c r="H176" s="83" t="s">
        <v>230</v>
      </c>
      <c r="I176" s="84">
        <f>SUMIF($B$3:$B$104,"100554",$I$3:$I$104)</f>
        <v>163777.05000000002</v>
      </c>
      <c r="J176" s="84">
        <f>SUMIF($B$3:$B$104,"100554",$J$3:$J$104)</f>
        <v>108442.34</v>
      </c>
      <c r="K176" s="84">
        <f>SUMIF($B$3:$B$104,"100554",$K$3:$K$104)</f>
        <v>55334.71</v>
      </c>
      <c r="L176" s="85">
        <f>SUMIF($B$3:$B$104,"100554",$L$3:$L$104)</f>
        <v>6636072.3600000003</v>
      </c>
    </row>
    <row r="177" spans="2:12" s="28" customFormat="1" x14ac:dyDescent="0.2">
      <c r="B177" s="29"/>
      <c r="C177" s="29"/>
      <c r="D177" s="29"/>
      <c r="E177" s="65"/>
      <c r="F177" s="65"/>
      <c r="I177" s="66"/>
      <c r="J177" s="66"/>
      <c r="K177" s="66"/>
      <c r="L177" s="67"/>
    </row>
    <row r="178" spans="2:12" s="28" customFormat="1" ht="14.25" customHeight="1" x14ac:dyDescent="0.2">
      <c r="B178" s="29"/>
      <c r="C178" s="29"/>
      <c r="D178" s="29"/>
      <c r="E178" s="65"/>
      <c r="F178" s="65"/>
      <c r="H178" s="69" t="s">
        <v>209</v>
      </c>
      <c r="I178" s="47">
        <f>SUM(I163:I176)</f>
        <v>319572.64</v>
      </c>
      <c r="J178" s="47">
        <f>SUM(J163:J176)</f>
        <v>241370.94</v>
      </c>
      <c r="K178" s="47">
        <f>SUM(K163:K176)</f>
        <v>78201.7</v>
      </c>
      <c r="L178" s="48">
        <f>SUM(L163:L176)</f>
        <v>7523791.2200000007</v>
      </c>
    </row>
    <row r="180" spans="2:12" x14ac:dyDescent="0.2">
      <c r="H180" s="5" t="s">
        <v>199</v>
      </c>
      <c r="I180" s="21">
        <f>I106</f>
        <v>319572.6399999999</v>
      </c>
      <c r="J180" s="21">
        <f>J106</f>
        <v>241370.94</v>
      </c>
      <c r="K180" s="21">
        <f>K106</f>
        <v>78201.700000000012</v>
      </c>
      <c r="L180" s="16">
        <f>L106</f>
        <v>7523791.2199999997</v>
      </c>
    </row>
    <row r="181" spans="2:12" x14ac:dyDescent="0.2">
      <c r="L181" s="16"/>
    </row>
    <row r="182" spans="2:12" x14ac:dyDescent="0.2">
      <c r="H182" s="5" t="s">
        <v>200</v>
      </c>
      <c r="I182" s="21">
        <f>I159</f>
        <v>319572.63999999996</v>
      </c>
      <c r="J182" s="21">
        <f>J159</f>
        <v>241370.93999999997</v>
      </c>
      <c r="K182" s="21">
        <f>K159</f>
        <v>78201.700000000012</v>
      </c>
      <c r="L182" s="16">
        <f>L159</f>
        <v>7523791.2199999997</v>
      </c>
    </row>
  </sheetData>
  <sortState ref="A98:K100">
    <sortCondition ref="C98:C100"/>
  </sortState>
  <phoneticPr fontId="0" type="noConversion"/>
  <printOptions horizontalCentered="1"/>
  <pageMargins left="0.25" right="0.25" top="0.5" bottom="0.5" header="0" footer="0"/>
  <pageSetup scale="67" fitToHeight="0" orientation="landscape" cellComments="atEnd" r:id="rId1"/>
  <headerFooter>
    <oddHeader>&amp;L&amp;12 U.S. Forest Service, Alaska Region, Remaining Timber Sales/Permits Volumes and Values as of August 31, 2016</oddHeader>
    <oddFooter xml:space="preserve">&amp;L&amp;12Page &amp;P of &amp;N&amp;C&amp;12&amp;Z&amp;F&amp;R&amp;12Compiled by Gene Miller     </oddFooter>
  </headerFooter>
  <rowBreaks count="4" manualBreakCount="4">
    <brk id="50" max="11" man="1"/>
    <brk id="91" max="16383" man="1"/>
    <brk id="106" max="16383" man="1"/>
    <brk id="1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"/>
    </sheetView>
  </sheetViews>
  <sheetFormatPr defaultRowHeight="12.75" x14ac:dyDescent="0.2"/>
  <sheetData/>
  <phoneticPr fontId="0" type="noConversion"/>
  <pageMargins left="0.75" right="0.75" top="1" bottom="1" header="0.5" footer="0.5"/>
  <pageSetup orientation="portrait" verticalDpi="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pageSetup orientation="portrait" verticalDpi="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Volume Under Contract</vt:lpstr>
      <vt:lpstr>Sheet2</vt:lpstr>
      <vt:lpstr>Sheet3</vt:lpstr>
    </vt:vector>
  </TitlesOfParts>
  <Company>USDA Forest Service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USDA FOREST SERVICE</dc:creator>
  <cp:lastModifiedBy>TJ Holley</cp:lastModifiedBy>
  <cp:lastPrinted>2016-10-14T01:26:03Z</cp:lastPrinted>
  <dcterms:created xsi:type="dcterms:W3CDTF">2000-01-21T21:34:04Z</dcterms:created>
  <dcterms:modified xsi:type="dcterms:W3CDTF">2016-10-14T17:14:53Z</dcterms:modified>
</cp:coreProperties>
</file>