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20" windowWidth="14256" windowHeight="8640" activeTab="2"/>
  </bookViews>
  <sheets>
    <sheet name="Navigation" sheetId="5" r:id="rId1"/>
    <sheet name="Methods" sheetId="6" r:id="rId2"/>
    <sheet name="Discharge" sheetId="4" r:id="rId3"/>
    <sheet name="Reports &amp; Refs." sheetId="7" r:id="rId4"/>
  </sheets>
  <calcPr calcId="145621"/>
</workbook>
</file>

<file path=xl/calcChain.xml><?xml version="1.0" encoding="utf-8"?>
<calcChain xmlns="http://schemas.openxmlformats.org/spreadsheetml/2006/main">
  <c r="C181" i="4" l="1"/>
  <c r="C182" i="4"/>
  <c r="C183" i="4"/>
  <c r="C184" i="4"/>
  <c r="C185" i="4"/>
  <c r="C186" i="4"/>
  <c r="C187" i="4"/>
  <c r="C188" i="4"/>
  <c r="C189" i="4"/>
  <c r="C190" i="4"/>
  <c r="C191" i="4"/>
  <c r="C192" i="4"/>
  <c r="C193" i="4"/>
  <c r="C194" i="4"/>
  <c r="C195" i="4"/>
  <c r="C196" i="4"/>
  <c r="C197" i="4"/>
  <c r="C198" i="4"/>
  <c r="C199" i="4"/>
  <c r="C180" i="4"/>
  <c r="D180" i="4"/>
  <c r="P40" i="4" l="1"/>
  <c r="P39" i="4"/>
  <c r="P38" i="4"/>
  <c r="P37" i="4"/>
  <c r="P36" i="4"/>
  <c r="P35" i="4"/>
  <c r="P34" i="4"/>
  <c r="P33" i="4"/>
  <c r="P32" i="4"/>
  <c r="O35" i="4"/>
  <c r="N35" i="4"/>
  <c r="O40" i="4"/>
  <c r="O39" i="4"/>
  <c r="O38" i="4"/>
  <c r="O37" i="4"/>
  <c r="O36" i="4"/>
  <c r="O34" i="4"/>
  <c r="O33" i="4"/>
  <c r="O32" i="4"/>
  <c r="N40" i="4"/>
  <c r="N39" i="4"/>
  <c r="N38" i="4"/>
  <c r="N37" i="4"/>
  <c r="N36" i="4"/>
  <c r="N34" i="4"/>
  <c r="N33" i="4"/>
  <c r="N32" i="4"/>
  <c r="G43" i="4"/>
  <c r="G42" i="4"/>
  <c r="G41" i="4"/>
  <c r="G40" i="4"/>
  <c r="G39" i="4"/>
  <c r="G38" i="4"/>
  <c r="G37" i="4"/>
  <c r="G36" i="4"/>
  <c r="G35" i="4"/>
  <c r="G34" i="4"/>
  <c r="G33" i="4"/>
  <c r="G32" i="4"/>
  <c r="G31" i="4"/>
  <c r="G30" i="4"/>
  <c r="G29" i="4"/>
  <c r="G28" i="4"/>
  <c r="G27" i="4"/>
  <c r="G26" i="4"/>
  <c r="G25" i="4"/>
  <c r="G69" i="4"/>
  <c r="G68" i="4"/>
  <c r="G67" i="4"/>
  <c r="G66" i="4"/>
  <c r="G65" i="4"/>
  <c r="G64" i="4"/>
  <c r="G63" i="4"/>
  <c r="G62" i="4"/>
  <c r="G61" i="4"/>
  <c r="G60" i="4"/>
  <c r="G59" i="4"/>
  <c r="G58" i="4"/>
  <c r="G57" i="4"/>
  <c r="G56" i="4"/>
  <c r="G55" i="4"/>
  <c r="G54" i="4"/>
  <c r="G53" i="4"/>
  <c r="G52" i="4"/>
  <c r="G51" i="4"/>
  <c r="G95" i="4"/>
  <c r="G94" i="4"/>
  <c r="G93" i="4"/>
  <c r="G92" i="4"/>
  <c r="G91" i="4"/>
  <c r="G90" i="4"/>
  <c r="G89" i="4"/>
  <c r="G88" i="4"/>
  <c r="G87" i="4"/>
  <c r="G86" i="4"/>
  <c r="G85" i="4"/>
  <c r="G84" i="4"/>
  <c r="G83" i="4"/>
  <c r="G82" i="4"/>
  <c r="G81" i="4"/>
  <c r="G80" i="4"/>
  <c r="G79" i="4"/>
  <c r="G78" i="4"/>
  <c r="G77" i="4"/>
  <c r="G104" i="4"/>
  <c r="G105" i="4"/>
  <c r="G106" i="4"/>
  <c r="G107" i="4"/>
  <c r="G108" i="4"/>
  <c r="G109" i="4"/>
  <c r="G110" i="4"/>
  <c r="G111" i="4"/>
  <c r="G112" i="4"/>
  <c r="G113" i="4"/>
  <c r="G114" i="4"/>
  <c r="G115" i="4"/>
  <c r="G116" i="4"/>
  <c r="G117" i="4"/>
  <c r="G118" i="4"/>
  <c r="G119" i="4"/>
  <c r="G120" i="4"/>
  <c r="G121" i="4"/>
  <c r="G103" i="4"/>
  <c r="H253" i="4" l="1"/>
  <c r="C253" i="4"/>
  <c r="H252" i="4"/>
  <c r="F252" i="4"/>
  <c r="C252" i="4"/>
  <c r="H251" i="4"/>
  <c r="F251" i="4"/>
  <c r="C251" i="4"/>
  <c r="H250" i="4"/>
  <c r="F250" i="4"/>
  <c r="C250" i="4"/>
  <c r="H249" i="4"/>
  <c r="F249" i="4"/>
  <c r="C249" i="4"/>
  <c r="H248" i="4"/>
  <c r="F248" i="4"/>
  <c r="C248" i="4"/>
  <c r="H247" i="4"/>
  <c r="F247" i="4"/>
  <c r="C247" i="4"/>
  <c r="H246" i="4"/>
  <c r="F246" i="4"/>
  <c r="C246" i="4"/>
  <c r="H245" i="4"/>
  <c r="F245" i="4"/>
  <c r="C245" i="4"/>
  <c r="H244" i="4"/>
  <c r="F244" i="4"/>
  <c r="C244" i="4"/>
  <c r="H243" i="4"/>
  <c r="F243" i="4"/>
  <c r="C243" i="4"/>
  <c r="H242" i="4"/>
  <c r="F242" i="4"/>
  <c r="C242" i="4"/>
  <c r="H241" i="4"/>
  <c r="F241" i="4"/>
  <c r="C241" i="4"/>
  <c r="H240" i="4"/>
  <c r="F240" i="4"/>
  <c r="C240" i="4"/>
  <c r="H239" i="4"/>
  <c r="F239" i="4"/>
  <c r="C239" i="4"/>
  <c r="H238" i="4"/>
  <c r="F238" i="4"/>
  <c r="C238" i="4"/>
  <c r="H237" i="4"/>
  <c r="F237" i="4"/>
  <c r="C237" i="4"/>
  <c r="H236" i="4"/>
  <c r="F236" i="4"/>
  <c r="C236" i="4"/>
  <c r="H235" i="4"/>
  <c r="F235" i="4"/>
  <c r="C235" i="4"/>
  <c r="H234" i="4"/>
  <c r="F234" i="4"/>
  <c r="C234" i="4"/>
  <c r="C226" i="4"/>
  <c r="H225" i="4"/>
  <c r="F225" i="4"/>
  <c r="C225" i="4"/>
  <c r="H224" i="4"/>
  <c r="F224" i="4"/>
  <c r="C224" i="4"/>
  <c r="H223" i="4"/>
  <c r="F223" i="4"/>
  <c r="C223" i="4"/>
  <c r="H222" i="4"/>
  <c r="F222" i="4"/>
  <c r="C222" i="4"/>
  <c r="H221" i="4"/>
  <c r="F221" i="4"/>
  <c r="C221" i="4"/>
  <c r="H220" i="4"/>
  <c r="F220" i="4"/>
  <c r="C220" i="4"/>
  <c r="H219" i="4"/>
  <c r="F219" i="4"/>
  <c r="C219" i="4"/>
  <c r="H218" i="4"/>
  <c r="F218" i="4"/>
  <c r="C218" i="4"/>
  <c r="H217" i="4"/>
  <c r="F217" i="4"/>
  <c r="C217" i="4"/>
  <c r="H216" i="4"/>
  <c r="F216" i="4"/>
  <c r="C216" i="4"/>
  <c r="H215" i="4"/>
  <c r="F215" i="4"/>
  <c r="C215" i="4"/>
  <c r="H214" i="4"/>
  <c r="F214" i="4"/>
  <c r="C214" i="4"/>
  <c r="H213" i="4"/>
  <c r="F213" i="4"/>
  <c r="C213" i="4"/>
  <c r="H212" i="4"/>
  <c r="F212" i="4"/>
  <c r="C212" i="4"/>
  <c r="H211" i="4"/>
  <c r="F211" i="4"/>
  <c r="C211" i="4"/>
  <c r="H210" i="4"/>
  <c r="F210" i="4"/>
  <c r="C210" i="4"/>
  <c r="H209" i="4"/>
  <c r="F209" i="4"/>
  <c r="C209" i="4"/>
  <c r="H208" i="4"/>
  <c r="F208" i="4"/>
  <c r="C208" i="4"/>
  <c r="H207" i="4"/>
  <c r="F207" i="4"/>
  <c r="C207" i="4"/>
  <c r="D207" i="4" s="1"/>
  <c r="H199" i="4"/>
  <c r="H198" i="4"/>
  <c r="F198" i="4"/>
  <c r="H197" i="4"/>
  <c r="F197" i="4"/>
  <c r="H196" i="4"/>
  <c r="F196" i="4"/>
  <c r="D196" i="4"/>
  <c r="H195" i="4"/>
  <c r="F195" i="4"/>
  <c r="H194" i="4"/>
  <c r="F194" i="4"/>
  <c r="H193" i="4"/>
  <c r="F193" i="4"/>
  <c r="H192" i="4"/>
  <c r="F192" i="4"/>
  <c r="H191" i="4"/>
  <c r="F191" i="4"/>
  <c r="H190" i="4"/>
  <c r="F190" i="4"/>
  <c r="H189" i="4"/>
  <c r="F189" i="4"/>
  <c r="H188" i="4"/>
  <c r="F188" i="4"/>
  <c r="D188" i="4"/>
  <c r="H187" i="4"/>
  <c r="F187" i="4"/>
  <c r="H186" i="4"/>
  <c r="F186" i="4"/>
  <c r="H185" i="4"/>
  <c r="F185" i="4"/>
  <c r="H184" i="4"/>
  <c r="F184" i="4"/>
  <c r="D184" i="4"/>
  <c r="H183" i="4"/>
  <c r="F183" i="4"/>
  <c r="H182" i="4"/>
  <c r="F182" i="4"/>
  <c r="H181" i="4"/>
  <c r="F181" i="4"/>
  <c r="H180" i="4"/>
  <c r="F180" i="4"/>
  <c r="D156" i="4"/>
  <c r="D157" i="4"/>
  <c r="D158" i="4"/>
  <c r="D159" i="4"/>
  <c r="D160" i="4"/>
  <c r="D161" i="4"/>
  <c r="D162" i="4"/>
  <c r="D163" i="4"/>
  <c r="D164" i="4"/>
  <c r="D165" i="4"/>
  <c r="D166" i="4"/>
  <c r="D167" i="4"/>
  <c r="D168" i="4"/>
  <c r="D169" i="4"/>
  <c r="D170" i="4"/>
  <c r="D171" i="4"/>
  <c r="D172" i="4"/>
  <c r="D155" i="4"/>
  <c r="H172" i="4"/>
  <c r="F172" i="4"/>
  <c r="H171" i="4"/>
  <c r="F171" i="4"/>
  <c r="H170" i="4"/>
  <c r="F170" i="4"/>
  <c r="H169" i="4"/>
  <c r="F169" i="4"/>
  <c r="H168" i="4"/>
  <c r="F168" i="4"/>
  <c r="H167" i="4"/>
  <c r="F167" i="4"/>
  <c r="H166" i="4"/>
  <c r="F166" i="4"/>
  <c r="H165" i="4"/>
  <c r="F165" i="4"/>
  <c r="H164" i="4"/>
  <c r="F164" i="4"/>
  <c r="H163" i="4"/>
  <c r="F163" i="4"/>
  <c r="H162" i="4"/>
  <c r="F162" i="4"/>
  <c r="H161" i="4"/>
  <c r="F161" i="4"/>
  <c r="H160" i="4"/>
  <c r="F160" i="4"/>
  <c r="H159" i="4"/>
  <c r="F159" i="4"/>
  <c r="H158" i="4"/>
  <c r="F158" i="4"/>
  <c r="H157" i="4"/>
  <c r="F157" i="4"/>
  <c r="H156" i="4"/>
  <c r="F156" i="4"/>
  <c r="H155" i="4"/>
  <c r="F155" i="4"/>
  <c r="D130" i="4"/>
  <c r="D131" i="4"/>
  <c r="D132" i="4"/>
  <c r="D133" i="4"/>
  <c r="D134" i="4"/>
  <c r="D135" i="4"/>
  <c r="D136" i="4"/>
  <c r="D137" i="4"/>
  <c r="D138" i="4"/>
  <c r="D139" i="4"/>
  <c r="D140" i="4"/>
  <c r="D141" i="4"/>
  <c r="D142" i="4"/>
  <c r="D143" i="4"/>
  <c r="D144" i="4"/>
  <c r="D145" i="4"/>
  <c r="D146" i="4"/>
  <c r="D147" i="4"/>
  <c r="D129" i="4"/>
  <c r="H147" i="4"/>
  <c r="F147" i="4"/>
  <c r="H146" i="4"/>
  <c r="F146" i="4"/>
  <c r="H145" i="4"/>
  <c r="F145" i="4"/>
  <c r="H144" i="4"/>
  <c r="F144" i="4"/>
  <c r="H143" i="4"/>
  <c r="F143" i="4"/>
  <c r="H142" i="4"/>
  <c r="F142" i="4"/>
  <c r="H141" i="4"/>
  <c r="F141" i="4"/>
  <c r="H140" i="4"/>
  <c r="F140" i="4"/>
  <c r="H139" i="4"/>
  <c r="F139" i="4"/>
  <c r="H138" i="4"/>
  <c r="F138" i="4"/>
  <c r="H137" i="4"/>
  <c r="F137" i="4"/>
  <c r="H136" i="4"/>
  <c r="F136" i="4"/>
  <c r="H135" i="4"/>
  <c r="F135" i="4"/>
  <c r="H134" i="4"/>
  <c r="F134" i="4"/>
  <c r="H133" i="4"/>
  <c r="F133" i="4"/>
  <c r="H132" i="4"/>
  <c r="F132" i="4"/>
  <c r="H131" i="4"/>
  <c r="F131" i="4"/>
  <c r="H130" i="4"/>
  <c r="F130" i="4"/>
  <c r="H129" i="4"/>
  <c r="F129" i="4"/>
  <c r="D52" i="4"/>
  <c r="D53" i="4"/>
  <c r="D54" i="4"/>
  <c r="D55" i="4"/>
  <c r="D56" i="4"/>
  <c r="D57" i="4"/>
  <c r="D58" i="4"/>
  <c r="D59" i="4"/>
  <c r="D60" i="4"/>
  <c r="D61" i="4"/>
  <c r="D62" i="4"/>
  <c r="D63" i="4"/>
  <c r="D64" i="4"/>
  <c r="D65" i="4"/>
  <c r="D66" i="4"/>
  <c r="D67" i="4"/>
  <c r="D68" i="4"/>
  <c r="D69" i="4"/>
  <c r="D51" i="4"/>
  <c r="F69" i="4"/>
  <c r="F68" i="4"/>
  <c r="F67" i="4"/>
  <c r="F66" i="4"/>
  <c r="F65" i="4"/>
  <c r="F64" i="4"/>
  <c r="F63" i="4"/>
  <c r="F62" i="4"/>
  <c r="F61" i="4"/>
  <c r="F60" i="4"/>
  <c r="F59" i="4"/>
  <c r="F58" i="4"/>
  <c r="F57" i="4"/>
  <c r="F56" i="4"/>
  <c r="F55" i="4"/>
  <c r="F54" i="4"/>
  <c r="F53" i="4"/>
  <c r="F52" i="4"/>
  <c r="F51" i="4"/>
  <c r="D104" i="4"/>
  <c r="D105" i="4"/>
  <c r="D106" i="4"/>
  <c r="D107" i="4"/>
  <c r="D108" i="4"/>
  <c r="D109" i="4"/>
  <c r="D110" i="4"/>
  <c r="D111" i="4"/>
  <c r="D112" i="4"/>
  <c r="D113" i="4"/>
  <c r="D114" i="4"/>
  <c r="D115" i="4"/>
  <c r="D116" i="4"/>
  <c r="D117" i="4"/>
  <c r="D118" i="4"/>
  <c r="D119" i="4"/>
  <c r="D120" i="4"/>
  <c r="D121" i="4"/>
  <c r="D103" i="4"/>
  <c r="F121" i="4"/>
  <c r="F120" i="4"/>
  <c r="F119" i="4"/>
  <c r="F118" i="4"/>
  <c r="F117" i="4"/>
  <c r="F116" i="4"/>
  <c r="F115" i="4"/>
  <c r="F114" i="4"/>
  <c r="F113" i="4"/>
  <c r="F112" i="4"/>
  <c r="F111" i="4"/>
  <c r="F110" i="4"/>
  <c r="F109" i="4"/>
  <c r="F108" i="4"/>
  <c r="F107" i="4"/>
  <c r="F106" i="4"/>
  <c r="F105" i="4"/>
  <c r="F104" i="4"/>
  <c r="F103" i="4"/>
  <c r="D78" i="4"/>
  <c r="D79" i="4"/>
  <c r="D80" i="4"/>
  <c r="D81" i="4"/>
  <c r="D82" i="4"/>
  <c r="D83" i="4"/>
  <c r="D84" i="4"/>
  <c r="D85" i="4"/>
  <c r="D86" i="4"/>
  <c r="D87" i="4"/>
  <c r="D88" i="4"/>
  <c r="D89" i="4"/>
  <c r="D90" i="4"/>
  <c r="D91" i="4"/>
  <c r="D92" i="4"/>
  <c r="D93" i="4"/>
  <c r="D94" i="4"/>
  <c r="D95" i="4"/>
  <c r="D77" i="4"/>
  <c r="F95" i="4"/>
  <c r="F94" i="4"/>
  <c r="F93" i="4"/>
  <c r="F92" i="4"/>
  <c r="F91" i="4"/>
  <c r="F90" i="4"/>
  <c r="F89" i="4"/>
  <c r="F88" i="4"/>
  <c r="F87" i="4"/>
  <c r="F86" i="4"/>
  <c r="F85" i="4"/>
  <c r="F84" i="4"/>
  <c r="F83" i="4"/>
  <c r="F82" i="4"/>
  <c r="F81" i="4"/>
  <c r="F80" i="4"/>
  <c r="F79" i="4"/>
  <c r="F78" i="4"/>
  <c r="F77" i="4"/>
  <c r="D26" i="4"/>
  <c r="D27" i="4"/>
  <c r="D28" i="4"/>
  <c r="D29" i="4"/>
  <c r="D30" i="4"/>
  <c r="D31" i="4"/>
  <c r="D32" i="4"/>
  <c r="D33" i="4"/>
  <c r="D34" i="4"/>
  <c r="D35" i="4"/>
  <c r="D36" i="4"/>
  <c r="D37" i="4"/>
  <c r="D38" i="4"/>
  <c r="D39" i="4"/>
  <c r="D40" i="4"/>
  <c r="D41" i="4"/>
  <c r="D42" i="4"/>
  <c r="D43" i="4"/>
  <c r="D25" i="4"/>
  <c r="F43" i="4"/>
  <c r="F42" i="4"/>
  <c r="F41" i="4"/>
  <c r="F40" i="4"/>
  <c r="F39" i="4"/>
  <c r="F38" i="4"/>
  <c r="F37" i="4"/>
  <c r="F36" i="4"/>
  <c r="F35" i="4"/>
  <c r="F34" i="4"/>
  <c r="F33" i="4"/>
  <c r="F32" i="4"/>
  <c r="F31" i="4"/>
  <c r="F30" i="4"/>
  <c r="F29" i="4"/>
  <c r="F28" i="4"/>
  <c r="F27" i="4"/>
  <c r="F26" i="4"/>
  <c r="F25" i="4"/>
  <c r="D211" i="4" l="1"/>
  <c r="D237" i="4"/>
  <c r="J133" i="4"/>
  <c r="I169" i="4"/>
  <c r="D215" i="4"/>
  <c r="D223" i="4"/>
  <c r="I161" i="4"/>
  <c r="J171" i="4"/>
  <c r="D209" i="4"/>
  <c r="D213" i="4"/>
  <c r="D217" i="4"/>
  <c r="D221" i="4"/>
  <c r="J221" i="4" s="1"/>
  <c r="D225" i="4"/>
  <c r="D192" i="4"/>
  <c r="V34" i="4"/>
  <c r="D96" i="4"/>
  <c r="V33" i="4"/>
  <c r="D70" i="4"/>
  <c r="D238" i="4"/>
  <c r="D242" i="4"/>
  <c r="D246" i="4"/>
  <c r="D250" i="4"/>
  <c r="J145" i="4"/>
  <c r="D182" i="4"/>
  <c r="D186" i="4"/>
  <c r="D190" i="4"/>
  <c r="D194" i="4"/>
  <c r="D198" i="4"/>
  <c r="D208" i="4"/>
  <c r="I208" i="4" s="1"/>
  <c r="D212" i="4"/>
  <c r="J212" i="4" s="1"/>
  <c r="D216" i="4"/>
  <c r="D220" i="4"/>
  <c r="D224" i="4"/>
  <c r="V35" i="4"/>
  <c r="D122" i="4"/>
  <c r="V36" i="4"/>
  <c r="D148" i="4"/>
  <c r="V37" i="4"/>
  <c r="D173" i="4"/>
  <c r="I172" i="4" s="1"/>
  <c r="D181" i="4"/>
  <c r="J181" i="4" s="1"/>
  <c r="D185" i="4"/>
  <c r="I185" i="4" s="1"/>
  <c r="D189" i="4"/>
  <c r="J189" i="4" s="1"/>
  <c r="D193" i="4"/>
  <c r="D197" i="4"/>
  <c r="J197" i="4" s="1"/>
  <c r="D219" i="4"/>
  <c r="D236" i="4"/>
  <c r="D240" i="4"/>
  <c r="D244" i="4"/>
  <c r="J141" i="4"/>
  <c r="J146" i="4"/>
  <c r="J142" i="4"/>
  <c r="J138" i="4"/>
  <c r="J134" i="4"/>
  <c r="I162" i="4"/>
  <c r="J172" i="4"/>
  <c r="J167" i="4"/>
  <c r="J163" i="4"/>
  <c r="J159" i="4"/>
  <c r="D183" i="4"/>
  <c r="J184" i="4" s="1"/>
  <c r="D210" i="4"/>
  <c r="V32" i="4"/>
  <c r="D44" i="4"/>
  <c r="D248" i="4"/>
  <c r="D252" i="4"/>
  <c r="D234" i="4"/>
  <c r="J144" i="4"/>
  <c r="J140" i="4"/>
  <c r="J132" i="4"/>
  <c r="J162" i="4"/>
  <c r="J158" i="4"/>
  <c r="D235" i="4"/>
  <c r="D239" i="4"/>
  <c r="D243" i="4"/>
  <c r="D247" i="4"/>
  <c r="D251" i="4"/>
  <c r="I158" i="4"/>
  <c r="J170" i="4"/>
  <c r="J166" i="4"/>
  <c r="I134" i="4"/>
  <c r="I146" i="4"/>
  <c r="I140" i="4"/>
  <c r="J136" i="4"/>
  <c r="I132" i="4"/>
  <c r="J164" i="4"/>
  <c r="I170" i="4"/>
  <c r="J169" i="4"/>
  <c r="J165" i="4"/>
  <c r="J161" i="4"/>
  <c r="J157" i="4"/>
  <c r="I212" i="4"/>
  <c r="I142" i="4"/>
  <c r="J147" i="4"/>
  <c r="J143" i="4"/>
  <c r="J135" i="4"/>
  <c r="I166" i="4"/>
  <c r="D199" i="4"/>
  <c r="D200" i="4" s="1"/>
  <c r="D195" i="4"/>
  <c r="D191" i="4"/>
  <c r="D187" i="4"/>
  <c r="D226" i="4"/>
  <c r="D222" i="4"/>
  <c r="D218" i="4"/>
  <c r="D214" i="4"/>
  <c r="D253" i="4"/>
  <c r="D254" i="4" s="1"/>
  <c r="D249" i="4"/>
  <c r="D245" i="4"/>
  <c r="D241" i="4"/>
  <c r="J241" i="4" s="1"/>
  <c r="J216" i="4"/>
  <c r="I160" i="4"/>
  <c r="I164" i="4"/>
  <c r="I168" i="4"/>
  <c r="I159" i="4"/>
  <c r="I163" i="4"/>
  <c r="I167" i="4"/>
  <c r="I171" i="4"/>
  <c r="J156" i="4"/>
  <c r="I156" i="4"/>
  <c r="I157" i="4"/>
  <c r="J160" i="4"/>
  <c r="I165" i="4"/>
  <c r="J168" i="4"/>
  <c r="J137" i="4"/>
  <c r="I138" i="4"/>
  <c r="I133" i="4"/>
  <c r="I137" i="4"/>
  <c r="I141" i="4"/>
  <c r="I145" i="4"/>
  <c r="I131" i="4"/>
  <c r="I135" i="4"/>
  <c r="I139" i="4"/>
  <c r="I143" i="4"/>
  <c r="J130" i="4"/>
  <c r="I130" i="4"/>
  <c r="J131" i="4"/>
  <c r="I136" i="4"/>
  <c r="J139" i="4"/>
  <c r="I144" i="4"/>
  <c r="J62" i="4"/>
  <c r="J66" i="4"/>
  <c r="J106" i="4"/>
  <c r="J107" i="4"/>
  <c r="J69" i="4"/>
  <c r="I28" i="4"/>
  <c r="J118" i="4"/>
  <c r="J114" i="4"/>
  <c r="J57" i="4"/>
  <c r="J39" i="4"/>
  <c r="J32" i="4"/>
  <c r="J93" i="4"/>
  <c r="J81" i="4"/>
  <c r="J121" i="4"/>
  <c r="J105" i="4"/>
  <c r="J68" i="4"/>
  <c r="I60" i="4"/>
  <c r="J86" i="4"/>
  <c r="J42" i="4"/>
  <c r="J110" i="4"/>
  <c r="J67" i="4"/>
  <c r="I32" i="4"/>
  <c r="J85" i="4"/>
  <c r="J89" i="4"/>
  <c r="J120" i="4"/>
  <c r="J113" i="4"/>
  <c r="J108" i="4"/>
  <c r="J104" i="4"/>
  <c r="I64" i="4"/>
  <c r="J27" i="4"/>
  <c r="J60" i="4"/>
  <c r="J53" i="4"/>
  <c r="J37" i="4"/>
  <c r="I40" i="4"/>
  <c r="J119" i="4"/>
  <c r="J115" i="4"/>
  <c r="J111" i="4"/>
  <c r="J58" i="4"/>
  <c r="J41" i="4"/>
  <c r="J31" i="4"/>
  <c r="J116" i="4"/>
  <c r="J64" i="4"/>
  <c r="J56" i="4"/>
  <c r="J28" i="4"/>
  <c r="J34" i="4"/>
  <c r="I27" i="4"/>
  <c r="J94" i="4"/>
  <c r="J90" i="4"/>
  <c r="J82" i="4"/>
  <c r="J59" i="4"/>
  <c r="J33" i="4"/>
  <c r="I36" i="4"/>
  <c r="J40" i="4"/>
  <c r="I41" i="4"/>
  <c r="I37" i="4"/>
  <c r="I33" i="4"/>
  <c r="I29" i="4"/>
  <c r="I52" i="4"/>
  <c r="J65" i="4"/>
  <c r="I68" i="4"/>
  <c r="I65" i="4"/>
  <c r="I61" i="4"/>
  <c r="I57" i="4"/>
  <c r="I53" i="4"/>
  <c r="J35" i="4"/>
  <c r="J112" i="4"/>
  <c r="J38" i="4"/>
  <c r="J30" i="4"/>
  <c r="J78" i="4"/>
  <c r="J117" i="4"/>
  <c r="I56" i="4"/>
  <c r="J63" i="4"/>
  <c r="J55" i="4"/>
  <c r="J29" i="4"/>
  <c r="J36" i="4"/>
  <c r="J92" i="4"/>
  <c r="J88" i="4"/>
  <c r="J84" i="4"/>
  <c r="J80" i="4"/>
  <c r="J109" i="4"/>
  <c r="J54" i="4"/>
  <c r="J61" i="4"/>
  <c r="I55" i="4"/>
  <c r="I59" i="4"/>
  <c r="I63" i="4"/>
  <c r="I67" i="4"/>
  <c r="I54" i="4"/>
  <c r="I58" i="4"/>
  <c r="I62" i="4"/>
  <c r="I66" i="4"/>
  <c r="J52" i="4"/>
  <c r="I105" i="4"/>
  <c r="I113" i="4"/>
  <c r="I107" i="4"/>
  <c r="I109" i="4"/>
  <c r="I111" i="4"/>
  <c r="I115" i="4"/>
  <c r="I117" i="4"/>
  <c r="I119" i="4"/>
  <c r="I106" i="4"/>
  <c r="I108" i="4"/>
  <c r="I110" i="4"/>
  <c r="I112" i="4"/>
  <c r="I114" i="4"/>
  <c r="I116" i="4"/>
  <c r="I118" i="4"/>
  <c r="I120" i="4"/>
  <c r="I104" i="4"/>
  <c r="J91" i="4"/>
  <c r="J79" i="4"/>
  <c r="J83" i="4"/>
  <c r="J87" i="4"/>
  <c r="I78" i="4"/>
  <c r="I79" i="4"/>
  <c r="I80" i="4"/>
  <c r="I81" i="4"/>
  <c r="I82" i="4"/>
  <c r="I83" i="4"/>
  <c r="I84" i="4"/>
  <c r="I85" i="4"/>
  <c r="I86" i="4"/>
  <c r="I87" i="4"/>
  <c r="I88" i="4"/>
  <c r="I89" i="4"/>
  <c r="I90" i="4"/>
  <c r="I91" i="4"/>
  <c r="I92" i="4"/>
  <c r="I93" i="4"/>
  <c r="I94" i="4"/>
  <c r="J95" i="4"/>
  <c r="I31" i="4"/>
  <c r="I35" i="4"/>
  <c r="I39" i="4"/>
  <c r="J43" i="4"/>
  <c r="I30" i="4"/>
  <c r="I34" i="4"/>
  <c r="I38" i="4"/>
  <c r="I42" i="4"/>
  <c r="I26" i="4"/>
  <c r="J26" i="4"/>
  <c r="I238" i="4" l="1"/>
  <c r="J217" i="4"/>
  <c r="J245" i="4"/>
  <c r="J222" i="4"/>
  <c r="I243" i="4"/>
  <c r="J242" i="4"/>
  <c r="J249" i="4"/>
  <c r="I194" i="4"/>
  <c r="I216" i="4"/>
  <c r="I221" i="4"/>
  <c r="J238" i="4"/>
  <c r="I218" i="4"/>
  <c r="J248" i="4"/>
  <c r="J236" i="4"/>
  <c r="J251" i="4"/>
  <c r="I219" i="4"/>
  <c r="J44" i="4"/>
  <c r="J247" i="4"/>
  <c r="I213" i="4"/>
  <c r="J213" i="4"/>
  <c r="I214" i="4"/>
  <c r="J187" i="4"/>
  <c r="I44" i="4"/>
  <c r="I235" i="4"/>
  <c r="J224" i="4"/>
  <c r="I247" i="4"/>
  <c r="J215" i="4"/>
  <c r="J244" i="4"/>
  <c r="I217" i="4"/>
  <c r="J192" i="4"/>
  <c r="J237" i="4"/>
  <c r="J239" i="4"/>
  <c r="J252" i="4"/>
  <c r="J210" i="4"/>
  <c r="I199" i="4"/>
  <c r="I183" i="4"/>
  <c r="I237" i="4"/>
  <c r="J214" i="4"/>
  <c r="J96" i="4"/>
  <c r="I220" i="4"/>
  <c r="J194" i="4"/>
  <c r="J193" i="4"/>
  <c r="I197" i="4"/>
  <c r="I198" i="4"/>
  <c r="I189" i="4"/>
  <c r="J190" i="4"/>
  <c r="J182" i="4"/>
  <c r="I182" i="4"/>
  <c r="I181" i="4"/>
  <c r="J186" i="4"/>
  <c r="J198" i="4"/>
  <c r="I193" i="4"/>
  <c r="J209" i="4"/>
  <c r="J220" i="4"/>
  <c r="I242" i="4"/>
  <c r="J243" i="4"/>
  <c r="J188" i="4"/>
  <c r="J185" i="4"/>
  <c r="J225" i="4"/>
  <c r="J219" i="4"/>
  <c r="J208" i="4"/>
  <c r="J240" i="4"/>
  <c r="I239" i="4"/>
  <c r="I225" i="4"/>
  <c r="D227" i="4"/>
  <c r="I226" i="4" s="1"/>
  <c r="I251" i="4"/>
  <c r="J235" i="4"/>
  <c r="I248" i="4"/>
  <c r="J183" i="4"/>
  <c r="I184" i="4"/>
  <c r="I224" i="4"/>
  <c r="I250" i="4"/>
  <c r="I245" i="4"/>
  <c r="I241" i="4"/>
  <c r="Q32" i="4"/>
  <c r="J173" i="4"/>
  <c r="T37" i="4" s="1"/>
  <c r="W37" i="4" s="1"/>
  <c r="I191" i="4"/>
  <c r="I223" i="4"/>
  <c r="I210" i="4"/>
  <c r="J211" i="4"/>
  <c r="I240" i="4"/>
  <c r="I253" i="4"/>
  <c r="I252" i="4"/>
  <c r="I190" i="4"/>
  <c r="I187" i="4"/>
  <c r="J223" i="4"/>
  <c r="I209" i="4"/>
  <c r="I211" i="4"/>
  <c r="J250" i="4"/>
  <c r="I236" i="4"/>
  <c r="J191" i="4"/>
  <c r="I249" i="4"/>
  <c r="I196" i="4"/>
  <c r="I192" i="4"/>
  <c r="I195" i="4"/>
  <c r="I222" i="4"/>
  <c r="J218" i="4"/>
  <c r="J195" i="4"/>
  <c r="T32" i="4"/>
  <c r="W32" i="4" s="1"/>
  <c r="J122" i="4"/>
  <c r="T35" i="4" s="1"/>
  <c r="W35" i="4" s="1"/>
  <c r="I173" i="4"/>
  <c r="Q37" i="4" s="1"/>
  <c r="I215" i="4"/>
  <c r="J148" i="4"/>
  <c r="T36" i="4" s="1"/>
  <c r="W36" i="4" s="1"/>
  <c r="V40" i="4"/>
  <c r="J253" i="4"/>
  <c r="V39" i="4"/>
  <c r="J226" i="4"/>
  <c r="I188" i="4"/>
  <c r="J196" i="4"/>
  <c r="I186" i="4"/>
  <c r="I246" i="4"/>
  <c r="J246" i="4"/>
  <c r="I244" i="4"/>
  <c r="V38" i="4"/>
  <c r="J199" i="4"/>
  <c r="J70" i="4"/>
  <c r="T33" i="4" s="1"/>
  <c r="W33" i="4" s="1"/>
  <c r="I70" i="4"/>
  <c r="Q33" i="4" s="1"/>
  <c r="I148" i="4"/>
  <c r="Q36" i="4" s="1"/>
  <c r="I122" i="4"/>
  <c r="Q35" i="4" s="1"/>
  <c r="I96" i="4"/>
  <c r="Q34" i="4" s="1"/>
  <c r="R34" i="4" l="1"/>
  <c r="S34" i="4"/>
  <c r="S36" i="4"/>
  <c r="R36" i="4"/>
  <c r="R33" i="4"/>
  <c r="S33" i="4"/>
  <c r="S37" i="4"/>
  <c r="R37" i="4"/>
  <c r="I227" i="4"/>
  <c r="Q39" i="4" s="1"/>
  <c r="S35" i="4"/>
  <c r="R35" i="4"/>
  <c r="R32" i="4"/>
  <c r="S32" i="4"/>
  <c r="I200" i="4"/>
  <c r="Q38" i="4" s="1"/>
  <c r="I254" i="4"/>
  <c r="Q40" i="4" s="1"/>
  <c r="U32" i="4"/>
  <c r="U35" i="4"/>
  <c r="U37" i="4"/>
  <c r="U36" i="4"/>
  <c r="U33" i="4"/>
  <c r="J227" i="4"/>
  <c r="T39" i="4" s="1"/>
  <c r="W39" i="4" s="1"/>
  <c r="J254" i="4"/>
  <c r="T40" i="4" s="1"/>
  <c r="W40" i="4" s="1"/>
  <c r="J200" i="4"/>
  <c r="T38" i="4" s="1"/>
  <c r="W38" i="4" s="1"/>
  <c r="S39" i="4" l="1"/>
  <c r="R39" i="4"/>
  <c r="U40" i="4"/>
  <c r="S40" i="4"/>
  <c r="R40" i="4"/>
  <c r="R38" i="4"/>
  <c r="S38" i="4"/>
  <c r="U39" i="4"/>
  <c r="U38" i="4"/>
  <c r="T34" i="4" l="1"/>
  <c r="W34" i="4" s="1"/>
  <c r="U34" i="4" l="1"/>
</calcChain>
</file>

<file path=xl/comments1.xml><?xml version="1.0" encoding="utf-8"?>
<comments xmlns="http://schemas.openxmlformats.org/spreadsheetml/2006/main">
  <authors>
    <author>kbunte</author>
  </authors>
  <commentList>
    <comment ref="H56" authorId="0">
      <text>
        <r>
          <rPr>
            <b/>
            <sz val="9"/>
            <color indexed="81"/>
            <rFont val="Tahoma"/>
            <family val="2"/>
          </rPr>
          <t>kbunte:</t>
        </r>
        <r>
          <rPr>
            <sz val="9"/>
            <color indexed="81"/>
            <rFont val="Tahoma"/>
            <family val="2"/>
          </rPr>
          <t xml:space="preserve">
trap 2 was probably in the way: increased meas'd vel. of 0.58 to 0.78 m/s
</t>
        </r>
      </text>
    </comment>
  </commentList>
</comments>
</file>

<file path=xl/sharedStrings.xml><?xml version="1.0" encoding="utf-8"?>
<sst xmlns="http://schemas.openxmlformats.org/spreadsheetml/2006/main" count="244" uniqueCount="66">
  <si>
    <t>(m³/s)</t>
  </si>
  <si>
    <t>0.6d (ft/s)</t>
  </si>
  <si>
    <t xml:space="preserve">14:25 </t>
  </si>
  <si>
    <t>0.6d (m/s)</t>
  </si>
  <si>
    <t>11:55</t>
  </si>
  <si>
    <t>13:55</t>
  </si>
  <si>
    <t>14:00</t>
  </si>
  <si>
    <t>m²</t>
  </si>
  <si>
    <t>14:35</t>
  </si>
  <si>
    <t>16:30</t>
  </si>
  <si>
    <t>18:35</t>
  </si>
  <si>
    <t>6-19-98</t>
  </si>
  <si>
    <t>6-20-98</t>
  </si>
  <si>
    <t>6-25-98</t>
  </si>
  <si>
    <t>6-26-98</t>
  </si>
  <si>
    <t>6-6-98</t>
  </si>
  <si>
    <t>6-8-98</t>
  </si>
  <si>
    <t>6-9-98</t>
  </si>
  <si>
    <t>8:10</t>
  </si>
  <si>
    <t>A</t>
  </si>
  <si>
    <t>depth (ft)</t>
  </si>
  <si>
    <t>depth (m)</t>
  </si>
  <si>
    <t>dist. from</t>
  </si>
  <si>
    <t>dist. on</t>
  </si>
  <si>
    <t>LB (m)</t>
  </si>
  <si>
    <t>dist.from</t>
  </si>
  <si>
    <t>lower site</t>
  </si>
  <si>
    <t>mean v @</t>
  </si>
  <si>
    <t>tape (m)</t>
  </si>
  <si>
    <t>total</t>
  </si>
  <si>
    <t>w (m)</t>
  </si>
  <si>
    <t>increm. Q</t>
  </si>
  <si>
    <t>increm.A</t>
  </si>
  <si>
    <r>
      <t>A (m</t>
    </r>
    <r>
      <rPr>
        <b/>
        <vertAlign val="superscript"/>
        <sz val="10"/>
        <color theme="9" tint="-0.499984740745262"/>
        <rFont val="Arial"/>
        <family val="2"/>
      </rPr>
      <t>2</t>
    </r>
    <r>
      <rPr>
        <b/>
        <sz val="10"/>
        <color theme="9" tint="-0.499984740745262"/>
        <rFont val="Arial"/>
        <family val="2"/>
      </rPr>
      <t>)</t>
    </r>
  </si>
  <si>
    <r>
      <t>Q (m</t>
    </r>
    <r>
      <rPr>
        <b/>
        <vertAlign val="superscript"/>
        <sz val="10"/>
        <color rgb="FF0000FF"/>
        <rFont val="Arial"/>
        <family val="2"/>
      </rPr>
      <t>3</t>
    </r>
    <r>
      <rPr>
        <b/>
        <sz val="10"/>
        <color rgb="FF0000FF"/>
        <rFont val="Arial"/>
        <family val="2"/>
      </rPr>
      <t>/s)</t>
    </r>
  </si>
  <si>
    <t>stage (cm):</t>
  </si>
  <si>
    <t>tape (ft)</t>
  </si>
  <si>
    <t>Stage and discharge measurements at St. Louis Creek, 1998, lower site between S. Ryan's site 2 and site 3.</t>
  </si>
  <si>
    <t>Discharge</t>
  </si>
  <si>
    <t>Qbf (cfs) =</t>
  </si>
  <si>
    <t>cross-sect.</t>
  </si>
  <si>
    <t>mean</t>
  </si>
  <si>
    <t>Discharge measurements</t>
  </si>
  <si>
    <t>meas'd</t>
  </si>
  <si>
    <t>area</t>
  </si>
  <si>
    <t>velocity</t>
  </si>
  <si>
    <t>wetted</t>
  </si>
  <si>
    <t>depth</t>
  </si>
  <si>
    <t>Date</t>
  </si>
  <si>
    <t>Time DST</t>
  </si>
  <si>
    <t>stage</t>
  </si>
  <si>
    <t>Q</t>
  </si>
  <si>
    <t>= Q/A</t>
  </si>
  <si>
    <t>width</t>
  </si>
  <si>
    <t>dm</t>
  </si>
  <si>
    <t>(cm)</t>
  </si>
  <si>
    <t>(cfs)</t>
  </si>
  <si>
    <t>(m²)</t>
  </si>
  <si>
    <t>(m/s)</t>
  </si>
  <si>
    <t>(m)</t>
  </si>
  <si>
    <t xml:space="preserve"> (m)</t>
  </si>
  <si>
    <t>A. Field data and analysis for individual discharge measurements</t>
  </si>
  <si>
    <t>C. Plotted stage-discharge relations</t>
  </si>
  <si>
    <t>B. Summary table for stage readings, discharge measurements, and computed flow parameters</t>
  </si>
  <si>
    <t>(%Qbf)</t>
  </si>
  <si>
    <t>D. Plotted hydraulic-geometry relations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</si>
</sst>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09]\ #,##0"/>
    <numFmt numFmtId="165" formatCode="0.0"/>
    <numFmt numFmtId="166" formatCode="0.000"/>
  </numFmts>
  <fonts count="26" x14ac:knownFonts="1">
    <font>
      <sz val="10"/>
      <name val="Arial"/>
    </font>
    <font>
      <sz val="10"/>
      <color theme="1"/>
      <name val="Arial"/>
      <family val="2"/>
    </font>
    <font>
      <sz val="10"/>
      <color theme="1"/>
      <name val="Arial"/>
      <family val="2"/>
    </font>
    <font>
      <b/>
      <sz val="18"/>
      <name val="Arial"/>
      <family val="2"/>
    </font>
    <font>
      <b/>
      <sz val="12"/>
      <name val="Arial"/>
      <family val="2"/>
    </font>
    <font>
      <b/>
      <sz val="10"/>
      <name val="Arial"/>
      <family val="2"/>
    </font>
    <font>
      <sz val="10"/>
      <name val="Arial"/>
      <family val="2"/>
    </font>
    <font>
      <sz val="10"/>
      <name val="Arial"/>
      <family val="2"/>
    </font>
    <font>
      <b/>
      <sz val="10"/>
      <color rgb="FF0000FF"/>
      <name val="Arial"/>
      <family val="2"/>
    </font>
    <font>
      <b/>
      <sz val="10"/>
      <color theme="9" tint="-0.499984740745262"/>
      <name val="Arial"/>
      <family val="2"/>
    </font>
    <font>
      <b/>
      <sz val="14"/>
      <name val="Arial"/>
      <family val="2"/>
    </font>
    <font>
      <b/>
      <vertAlign val="superscript"/>
      <sz val="10"/>
      <color theme="9" tint="-0.499984740745262"/>
      <name val="Arial"/>
      <family val="2"/>
    </font>
    <font>
      <b/>
      <vertAlign val="superscript"/>
      <sz val="10"/>
      <color rgb="FF0000FF"/>
      <name val="Arial"/>
      <family val="2"/>
    </font>
    <font>
      <b/>
      <sz val="10"/>
      <color rgb="FF00B050"/>
      <name val="Arial"/>
      <family val="2"/>
    </font>
    <font>
      <sz val="9"/>
      <color indexed="81"/>
      <name val="Tahoma"/>
      <family val="2"/>
    </font>
    <font>
      <b/>
      <sz val="9"/>
      <color indexed="81"/>
      <name val="Tahoma"/>
      <family val="2"/>
    </font>
    <font>
      <b/>
      <sz val="9"/>
      <name val="Arial"/>
      <family val="2"/>
    </font>
    <font>
      <b/>
      <i/>
      <sz val="10"/>
      <name val="Arial"/>
      <family val="2"/>
    </font>
    <font>
      <b/>
      <sz val="14"/>
      <color rgb="FF000000"/>
      <name val="Calibri"/>
      <family val="2"/>
    </font>
    <font>
      <sz val="14"/>
      <color theme="1"/>
      <name val="Arial"/>
      <family val="2"/>
    </font>
    <font>
      <sz val="14"/>
      <name val="Arial"/>
      <family val="2"/>
    </font>
    <font>
      <b/>
      <sz val="10"/>
      <color theme="1"/>
      <name val="Arial"/>
      <family val="2"/>
    </font>
    <font>
      <b/>
      <sz val="11"/>
      <color rgb="FF000000"/>
      <name val="Calibri"/>
      <family val="2"/>
    </font>
    <font>
      <sz val="10"/>
      <color theme="1"/>
      <name val="Arial"/>
      <family val="2"/>
    </font>
    <font>
      <b/>
      <sz val="12"/>
      <color rgb="FF000000"/>
      <name val="Arial"/>
      <family val="2"/>
    </font>
    <font>
      <b/>
      <sz val="11"/>
      <color rgb="FF000000"/>
      <name val="Arial"/>
      <family val="2"/>
    </font>
  </fonts>
  <fills count="10">
    <fill>
      <patternFill patternType="none"/>
    </fill>
    <fill>
      <patternFill patternType="gray125"/>
    </fill>
    <fill>
      <patternFill patternType="solid">
        <fgColor indexed="8"/>
        <bgColor indexed="8"/>
      </patternFill>
    </fill>
    <fill>
      <patternFill patternType="solid">
        <fgColor rgb="FFCCFFCC"/>
        <bgColor indexed="64"/>
      </patternFill>
    </fill>
    <fill>
      <patternFill patternType="solid">
        <fgColor rgb="FFCCFFFF"/>
        <bgColor indexed="64"/>
      </patternFill>
    </fill>
    <fill>
      <patternFill patternType="solid">
        <fgColor rgb="FFFFFF00"/>
        <bgColor indexed="64"/>
      </patternFill>
    </fill>
    <fill>
      <patternFill patternType="solid">
        <fgColor theme="8" tint="0.79998168889431442"/>
        <bgColor indexed="64"/>
      </patternFill>
    </fill>
    <fill>
      <patternFill patternType="solid">
        <fgColor rgb="FFCCFF99"/>
        <bgColor indexed="64"/>
      </patternFill>
    </fill>
    <fill>
      <patternFill patternType="solid">
        <fgColor rgb="FF66CCFF"/>
        <bgColor indexed="64"/>
      </patternFill>
    </fill>
    <fill>
      <patternFill patternType="solid">
        <fgColor theme="0"/>
        <bgColor indexed="64"/>
      </patternFill>
    </fill>
  </fills>
  <borders count="28">
    <border>
      <left/>
      <right/>
      <top/>
      <bottom/>
      <diagonal/>
    </border>
    <border>
      <left/>
      <right/>
      <top style="double">
        <color indexed="11"/>
      </top>
      <bottom/>
      <diagonal/>
    </border>
    <border>
      <left/>
      <right/>
      <top style="thin">
        <color indexed="11"/>
      </top>
      <bottom/>
      <diagonal/>
    </border>
    <border>
      <left/>
      <right/>
      <top/>
      <bottom style="thin">
        <color indexed="11"/>
      </bottom>
      <diagonal/>
    </border>
    <border>
      <left/>
      <right style="thin">
        <color indexed="1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11"/>
      </top>
      <bottom/>
      <diagonal/>
    </border>
    <border>
      <left/>
      <right style="thin">
        <color indexed="64"/>
      </right>
      <top style="thin">
        <color indexed="11"/>
      </top>
      <bottom/>
      <diagonal/>
    </border>
    <border>
      <left style="thin">
        <color indexed="64"/>
      </left>
      <right/>
      <top/>
      <bottom style="thin">
        <color indexed="11"/>
      </bottom>
      <diagonal/>
    </border>
    <border>
      <left/>
      <right style="thin">
        <color indexed="64"/>
      </right>
      <top/>
      <bottom style="thin">
        <color indexed="1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auto="1"/>
      </top>
      <bottom/>
      <diagonal/>
    </border>
    <border>
      <left style="medium">
        <color rgb="FFFF0000"/>
      </left>
      <right style="medium">
        <color rgb="FFFF0000"/>
      </right>
      <top style="medium">
        <color rgb="FFFF0000"/>
      </top>
      <bottom style="medium">
        <color rgb="FFFF0000"/>
      </bottom>
      <diagonal/>
    </border>
    <border>
      <left/>
      <right/>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8">
    <xf numFmtId="0" fontId="0" fillId="0" borderId="0"/>
    <xf numFmtId="2" fontId="6" fillId="2" borderId="0"/>
    <xf numFmtId="0" fontId="6" fillId="2" borderId="0"/>
    <xf numFmtId="0" fontId="3" fillId="2" borderId="0"/>
    <xf numFmtId="0" fontId="4" fillId="2" borderId="0"/>
    <xf numFmtId="0" fontId="6" fillId="2" borderId="1"/>
    <xf numFmtId="3" fontId="6" fillId="2" borderId="0"/>
    <xf numFmtId="164" fontId="6" fillId="2" borderId="0"/>
  </cellStyleXfs>
  <cellXfs count="155">
    <xf numFmtId="0" fontId="0" fillId="2" borderId="0" xfId="0" applyFill="1"/>
    <xf numFmtId="0" fontId="5" fillId="0" borderId="0" xfId="0" applyFont="1" applyFill="1"/>
    <xf numFmtId="0" fontId="0" fillId="0" borderId="0" xfId="0" applyFill="1"/>
    <xf numFmtId="2" fontId="0" fillId="0" borderId="0" xfId="0" applyNumberFormat="1" applyFill="1"/>
    <xf numFmtId="1" fontId="0" fillId="0" borderId="0" xfId="0" applyNumberFormat="1" applyFill="1"/>
    <xf numFmtId="0" fontId="10" fillId="0" borderId="0" xfId="0" applyFont="1" applyFill="1"/>
    <xf numFmtId="0" fontId="0" fillId="0" borderId="0" xfId="0" applyFill="1" applyBorder="1"/>
    <xf numFmtId="1" fontId="5" fillId="0" borderId="0" xfId="0" applyNumberFormat="1" applyFont="1" applyFill="1" applyBorder="1"/>
    <xf numFmtId="166" fontId="5" fillId="0" borderId="0" xfId="0" applyNumberFormat="1" applyFont="1" applyFill="1" applyBorder="1"/>
    <xf numFmtId="2" fontId="5" fillId="0" borderId="0" xfId="0" applyNumberFormat="1" applyFont="1" applyFill="1" applyBorder="1"/>
    <xf numFmtId="0" fontId="0" fillId="0" borderId="12" xfId="0" applyFill="1" applyBorder="1"/>
    <xf numFmtId="2" fontId="0" fillId="0" borderId="0" xfId="0" applyNumberFormat="1" applyFill="1" applyBorder="1"/>
    <xf numFmtId="0" fontId="0" fillId="0" borderId="0" xfId="0" applyNumberFormat="1" applyFill="1" applyBorder="1"/>
    <xf numFmtId="166" fontId="0" fillId="0" borderId="0" xfId="0" applyNumberFormat="1" applyFill="1" applyBorder="1"/>
    <xf numFmtId="0" fontId="0" fillId="0" borderId="13" xfId="0" applyFill="1" applyBorder="1"/>
    <xf numFmtId="166" fontId="0" fillId="0" borderId="13" xfId="0" applyNumberFormat="1" applyFill="1" applyBorder="1"/>
    <xf numFmtId="0" fontId="13" fillId="0" borderId="0" xfId="0" applyFont="1" applyFill="1" applyBorder="1" applyAlignment="1">
      <alignment horizontal="right"/>
    </xf>
    <xf numFmtId="2" fontId="8" fillId="0" borderId="0" xfId="0" applyNumberFormat="1" applyFont="1" applyFill="1" applyBorder="1"/>
    <xf numFmtId="2" fontId="9" fillId="0" borderId="13" xfId="0" applyNumberFormat="1" applyFont="1" applyFill="1" applyBorder="1"/>
    <xf numFmtId="0" fontId="0" fillId="0" borderId="14" xfId="0" applyFill="1" applyBorder="1"/>
    <xf numFmtId="0" fontId="13" fillId="0" borderId="15" xfId="0" applyFont="1" applyFill="1" applyBorder="1" applyAlignment="1">
      <alignment horizontal="center"/>
    </xf>
    <xf numFmtId="0" fontId="0" fillId="0" borderId="15" xfId="0" applyFill="1" applyBorder="1"/>
    <xf numFmtId="2" fontId="8" fillId="0" borderId="15" xfId="0" applyNumberFormat="1" applyFont="1" applyFill="1" applyBorder="1" applyAlignment="1">
      <alignment horizontal="center"/>
    </xf>
    <xf numFmtId="2" fontId="9" fillId="0" borderId="16" xfId="0" applyNumberFormat="1" applyFont="1" applyFill="1" applyBorder="1" applyAlignment="1">
      <alignment horizontal="center"/>
    </xf>
    <xf numFmtId="0" fontId="7" fillId="0" borderId="0" xfId="0" applyFont="1" applyFill="1" applyBorder="1"/>
    <xf numFmtId="166" fontId="7" fillId="0" borderId="0" xfId="0" applyNumberFormat="1" applyFont="1" applyFill="1" applyBorder="1"/>
    <xf numFmtId="0" fontId="5" fillId="0" borderId="0" xfId="0" applyFont="1" applyFill="1" applyBorder="1"/>
    <xf numFmtId="2" fontId="7" fillId="0" borderId="0" xfId="0" applyNumberFormat="1" applyFont="1" applyFill="1" applyBorder="1"/>
    <xf numFmtId="2" fontId="0" fillId="0" borderId="12" xfId="0" applyNumberFormat="1" applyFill="1" applyBorder="1"/>
    <xf numFmtId="2" fontId="13" fillId="0" borderId="0" xfId="0" applyNumberFormat="1" applyFont="1" applyFill="1" applyBorder="1" applyAlignment="1">
      <alignment horizontal="right"/>
    </xf>
    <xf numFmtId="0" fontId="13" fillId="0" borderId="0" xfId="0" applyFont="1" applyFill="1" applyBorder="1" applyAlignment="1">
      <alignment horizontal="center"/>
    </xf>
    <xf numFmtId="2" fontId="8" fillId="0" borderId="0" xfId="0" applyNumberFormat="1" applyFont="1" applyFill="1" applyBorder="1" applyAlignment="1">
      <alignment horizontal="center"/>
    </xf>
    <xf numFmtId="2" fontId="9" fillId="0" borderId="0" xfId="0" applyNumberFormat="1" applyFont="1" applyFill="1" applyBorder="1" applyAlignment="1">
      <alignment horizontal="center"/>
    </xf>
    <xf numFmtId="0" fontId="5" fillId="0" borderId="5" xfId="0" applyFont="1" applyFill="1" applyBorder="1"/>
    <xf numFmtId="0" fontId="5" fillId="0" borderId="6" xfId="0" applyFont="1" applyFill="1" applyBorder="1"/>
    <xf numFmtId="0" fontId="16" fillId="0" borderId="6" xfId="0" applyFont="1" applyFill="1" applyBorder="1"/>
    <xf numFmtId="0" fontId="5" fillId="0" borderId="7" xfId="0" applyFont="1" applyFill="1" applyBorder="1"/>
    <xf numFmtId="0" fontId="5" fillId="0" borderId="8" xfId="0" applyFont="1" applyFill="1" applyBorder="1"/>
    <xf numFmtId="0" fontId="5" fillId="0" borderId="2" xfId="0" applyFont="1" applyFill="1" applyBorder="1"/>
    <xf numFmtId="0" fontId="17" fillId="0" borderId="2" xfId="0" applyFont="1" applyFill="1" applyBorder="1"/>
    <xf numFmtId="0" fontId="17" fillId="0" borderId="9" xfId="0" applyFont="1" applyFill="1" applyBorder="1"/>
    <xf numFmtId="0" fontId="5" fillId="0" borderId="10" xfId="0" applyFont="1" applyFill="1" applyBorder="1"/>
    <xf numFmtId="0" fontId="5" fillId="0" borderId="3" xfId="0" applyFont="1" applyFill="1" applyBorder="1"/>
    <xf numFmtId="0" fontId="5" fillId="0" borderId="11" xfId="0" applyFont="1" applyFill="1" applyBorder="1"/>
    <xf numFmtId="2" fontId="9" fillId="0" borderId="0" xfId="0" applyNumberFormat="1" applyFont="1" applyFill="1" applyBorder="1"/>
    <xf numFmtId="2" fontId="9" fillId="0" borderId="15" xfId="0" applyNumberFormat="1" applyFont="1" applyFill="1" applyBorder="1" applyAlignment="1">
      <alignment horizontal="center"/>
    </xf>
    <xf numFmtId="0" fontId="17" fillId="0" borderId="6" xfId="0" applyFont="1" applyFill="1" applyBorder="1" applyAlignment="1">
      <alignment horizontal="center"/>
    </xf>
    <xf numFmtId="0" fontId="5" fillId="0" borderId="15" xfId="0" applyFont="1" applyFill="1" applyBorder="1" applyAlignment="1">
      <alignment horizontal="center"/>
    </xf>
    <xf numFmtId="0" fontId="5" fillId="0" borderId="5" xfId="0" applyFont="1" applyFill="1" applyBorder="1" applyAlignment="1">
      <alignment horizontal="center"/>
    </xf>
    <xf numFmtId="0" fontId="5" fillId="0" borderId="6" xfId="0" applyFont="1" applyFill="1" applyBorder="1" applyAlignment="1">
      <alignment horizontal="center"/>
    </xf>
    <xf numFmtId="0" fontId="16" fillId="0" borderId="6" xfId="0" applyFont="1" applyFill="1" applyBorder="1" applyAlignment="1">
      <alignment horizontal="center"/>
    </xf>
    <xf numFmtId="0" fontId="5" fillId="0" borderId="14" xfId="0" applyFont="1" applyFill="1" applyBorder="1" applyAlignment="1">
      <alignment horizontal="center"/>
    </xf>
    <xf numFmtId="0" fontId="0" fillId="3" borderId="17" xfId="0" applyFill="1" applyBorder="1" applyAlignment="1">
      <alignment horizontal="center"/>
    </xf>
    <xf numFmtId="0" fontId="21" fillId="4" borderId="17" xfId="0" applyFont="1" applyFill="1" applyBorder="1" applyAlignment="1">
      <alignment horizontal="center"/>
    </xf>
    <xf numFmtId="0" fontId="22" fillId="4" borderId="17" xfId="0" applyFont="1" applyFill="1" applyBorder="1" applyAlignment="1">
      <alignment horizontal="center"/>
    </xf>
    <xf numFmtId="0" fontId="5" fillId="4" borderId="17" xfId="0" applyFont="1" applyFill="1" applyBorder="1" applyAlignment="1">
      <alignment horizontal="center"/>
    </xf>
    <xf numFmtId="0" fontId="23" fillId="3" borderId="0" xfId="0" applyFont="1" applyFill="1" applyBorder="1" applyAlignment="1">
      <alignment horizontal="right"/>
    </xf>
    <xf numFmtId="0" fontId="21" fillId="3" borderId="0" xfId="0" applyFont="1" applyFill="1" applyBorder="1" applyAlignment="1">
      <alignment horizontal="center"/>
    </xf>
    <xf numFmtId="0" fontId="21" fillId="4" borderId="0" xfId="0" applyFont="1" applyFill="1" applyBorder="1" applyAlignment="1">
      <alignment horizontal="center"/>
    </xf>
    <xf numFmtId="2" fontId="21" fillId="5" borderId="18" xfId="0" applyNumberFormat="1" applyFont="1" applyFill="1" applyBorder="1" applyAlignment="1">
      <alignment horizontal="center"/>
    </xf>
    <xf numFmtId="0" fontId="5" fillId="4" borderId="0" xfId="0" applyFont="1" applyFill="1" applyBorder="1" applyAlignment="1">
      <alignment horizontal="center"/>
    </xf>
    <xf numFmtId="2" fontId="0" fillId="4" borderId="0" xfId="0" applyNumberFormat="1" applyFill="1" applyBorder="1" applyAlignment="1">
      <alignment horizontal="center"/>
    </xf>
    <xf numFmtId="0" fontId="21" fillId="4" borderId="0" xfId="0" quotePrefix="1" applyFont="1" applyFill="1" applyBorder="1" applyAlignment="1">
      <alignment horizontal="center"/>
    </xf>
    <xf numFmtId="0" fontId="21" fillId="3" borderId="19" xfId="0" applyFont="1" applyFill="1" applyBorder="1" applyAlignment="1">
      <alignment horizontal="center"/>
    </xf>
    <xf numFmtId="0" fontId="21" fillId="4" borderId="19" xfId="0" applyFont="1" applyFill="1" applyBorder="1" applyAlignment="1">
      <alignment horizontal="center"/>
    </xf>
    <xf numFmtId="1" fontId="5" fillId="4" borderId="19" xfId="0" applyNumberFormat="1" applyFont="1" applyFill="1" applyBorder="1" applyAlignment="1">
      <alignment horizontal="center"/>
    </xf>
    <xf numFmtId="0" fontId="5" fillId="0" borderId="0" xfId="0" applyFont="1" applyFill="1" applyAlignment="1">
      <alignment horizontal="center"/>
    </xf>
    <xf numFmtId="0" fontId="4" fillId="6" borderId="17" xfId="0" applyFont="1" applyFill="1" applyBorder="1"/>
    <xf numFmtId="0" fontId="0" fillId="6" borderId="0" xfId="0" applyFill="1" applyBorder="1"/>
    <xf numFmtId="0" fontId="0" fillId="6" borderId="20" xfId="0" applyFill="1" applyBorder="1"/>
    <xf numFmtId="0" fontId="0" fillId="6" borderId="17" xfId="0" applyFill="1" applyBorder="1"/>
    <xf numFmtId="0" fontId="0" fillId="6" borderId="21" xfId="0" applyFill="1" applyBorder="1"/>
    <xf numFmtId="0" fontId="0" fillId="6" borderId="22" xfId="0" applyFill="1" applyBorder="1"/>
    <xf numFmtId="0" fontId="10" fillId="6" borderId="0" xfId="0" applyFont="1" applyFill="1" applyBorder="1"/>
    <xf numFmtId="0" fontId="0" fillId="6" borderId="23" xfId="0" applyFill="1" applyBorder="1"/>
    <xf numFmtId="0" fontId="7" fillId="6" borderId="0" xfId="0" applyFont="1" applyFill="1" applyBorder="1"/>
    <xf numFmtId="0" fontId="5" fillId="6" borderId="0" xfId="0" applyFont="1" applyFill="1" applyBorder="1"/>
    <xf numFmtId="0" fontId="5" fillId="6" borderId="24" xfId="0" applyFont="1" applyFill="1" applyBorder="1" applyAlignment="1">
      <alignment horizontal="center"/>
    </xf>
    <xf numFmtId="0" fontId="5" fillId="6" borderId="25" xfId="0" applyFont="1" applyFill="1" applyBorder="1" applyAlignment="1">
      <alignment horizontal="center"/>
    </xf>
    <xf numFmtId="2" fontId="0" fillId="6" borderId="23" xfId="0" applyNumberFormat="1" applyFill="1" applyBorder="1"/>
    <xf numFmtId="0" fontId="0" fillId="6" borderId="25" xfId="0" applyFill="1" applyBorder="1"/>
    <xf numFmtId="0" fontId="0" fillId="6" borderId="26" xfId="0" applyFill="1" applyBorder="1"/>
    <xf numFmtId="0" fontId="0" fillId="6" borderId="19" xfId="0" applyFill="1" applyBorder="1"/>
    <xf numFmtId="0" fontId="0" fillId="6" borderId="27" xfId="0" applyFill="1" applyBorder="1"/>
    <xf numFmtId="0" fontId="2" fillId="0" borderId="0" xfId="0" applyFont="1"/>
    <xf numFmtId="0" fontId="6" fillId="0" borderId="0" xfId="0" applyFont="1"/>
    <xf numFmtId="0" fontId="4" fillId="7" borderId="0" xfId="0" applyFont="1" applyFill="1"/>
    <xf numFmtId="0" fontId="0" fillId="7" borderId="0" xfId="0" applyFill="1"/>
    <xf numFmtId="2" fontId="0" fillId="7" borderId="0" xfId="0" applyNumberFormat="1" applyFill="1"/>
    <xf numFmtId="0" fontId="4" fillId="8" borderId="0" xfId="0" applyFont="1" applyFill="1"/>
    <xf numFmtId="0" fontId="0" fillId="8" borderId="0" xfId="0" applyFill="1"/>
    <xf numFmtId="0" fontId="24" fillId="9" borderId="20" xfId="0" applyFont="1" applyFill="1" applyBorder="1" applyAlignment="1">
      <alignment horizontal="left" vertical="center"/>
    </xf>
    <xf numFmtId="0" fontId="1" fillId="9" borderId="17" xfId="0" applyFont="1" applyFill="1" applyBorder="1"/>
    <xf numFmtId="0" fontId="25" fillId="9" borderId="17" xfId="0" applyFont="1" applyFill="1" applyBorder="1" applyAlignment="1">
      <alignment horizontal="left" vertical="center"/>
    </xf>
    <xf numFmtId="0" fontId="6" fillId="9" borderId="17" xfId="0" applyFont="1" applyFill="1" applyBorder="1"/>
    <xf numFmtId="2" fontId="6" fillId="9" borderId="17" xfId="0" applyNumberFormat="1" applyFont="1" applyFill="1" applyBorder="1"/>
    <xf numFmtId="0" fontId="6" fillId="9" borderId="21" xfId="0" applyFont="1" applyFill="1" applyBorder="1"/>
    <xf numFmtId="0" fontId="18" fillId="9" borderId="26" xfId="0" applyFont="1" applyFill="1" applyBorder="1" applyAlignment="1">
      <alignment horizontal="left" vertical="center"/>
    </xf>
    <xf numFmtId="0" fontId="19" fillId="9" borderId="19" xfId="0" applyFont="1" applyFill="1" applyBorder="1"/>
    <xf numFmtId="0" fontId="18" fillId="9" borderId="19" xfId="0" applyFont="1" applyFill="1" applyBorder="1" applyAlignment="1">
      <alignment horizontal="left" vertical="center"/>
    </xf>
    <xf numFmtId="0" fontId="20" fillId="9" borderId="19" xfId="0" applyFont="1" applyFill="1" applyBorder="1"/>
    <xf numFmtId="2" fontId="20" fillId="9" borderId="27" xfId="0" applyNumberFormat="1" applyFont="1" applyFill="1" applyBorder="1"/>
    <xf numFmtId="0" fontId="0" fillId="3" borderId="20" xfId="0" applyFill="1" applyBorder="1" applyAlignment="1">
      <alignment horizontal="center"/>
    </xf>
    <xf numFmtId="0" fontId="21" fillId="3" borderId="21" xfId="0" applyFont="1" applyFill="1" applyBorder="1" applyAlignment="1">
      <alignment horizontal="center"/>
    </xf>
    <xf numFmtId="0" fontId="0" fillId="3" borderId="22" xfId="0" applyFill="1" applyBorder="1" applyAlignment="1">
      <alignment horizontal="right"/>
    </xf>
    <xf numFmtId="0" fontId="21" fillId="3" borderId="23" xfId="0" applyFont="1" applyFill="1" applyBorder="1" applyAlignment="1">
      <alignment horizontal="center"/>
    </xf>
    <xf numFmtId="0" fontId="21" fillId="3" borderId="22" xfId="0" applyFont="1" applyFill="1" applyBorder="1" applyAlignment="1">
      <alignment horizontal="center"/>
    </xf>
    <xf numFmtId="0" fontId="5" fillId="3" borderId="23" xfId="0" applyFont="1" applyFill="1" applyBorder="1" applyAlignment="1">
      <alignment horizontal="center"/>
    </xf>
    <xf numFmtId="0" fontId="21" fillId="3" borderId="26" xfId="0" applyFont="1" applyFill="1" applyBorder="1" applyAlignment="1">
      <alignment horizontal="center"/>
    </xf>
    <xf numFmtId="0" fontId="5" fillId="3" borderId="27" xfId="0" applyFont="1" applyFill="1" applyBorder="1" applyAlignment="1">
      <alignment horizontal="center"/>
    </xf>
    <xf numFmtId="0" fontId="0" fillId="3" borderId="22" xfId="0" applyFill="1" applyBorder="1"/>
    <xf numFmtId="20" fontId="0" fillId="3" borderId="0" xfId="0" applyNumberFormat="1" applyFill="1" applyBorder="1" applyAlignment="1">
      <alignment horizontal="left"/>
    </xf>
    <xf numFmtId="0" fontId="0" fillId="3" borderId="23" xfId="0" applyFill="1" applyBorder="1"/>
    <xf numFmtId="0" fontId="0" fillId="3" borderId="0" xfId="0" applyFill="1" applyBorder="1"/>
    <xf numFmtId="165" fontId="0" fillId="3" borderId="22" xfId="0" applyNumberFormat="1" applyFill="1" applyBorder="1"/>
    <xf numFmtId="165" fontId="0" fillId="3" borderId="0" xfId="0" applyNumberFormat="1" applyFill="1" applyBorder="1"/>
    <xf numFmtId="1" fontId="0" fillId="3" borderId="23" xfId="0" applyNumberFormat="1" applyFill="1" applyBorder="1"/>
    <xf numFmtId="165" fontId="0" fillId="3" borderId="26" xfId="0" applyNumberFormat="1" applyFill="1" applyBorder="1"/>
    <xf numFmtId="165" fontId="0" fillId="3" borderId="19" xfId="0" applyNumberFormat="1" applyFill="1" applyBorder="1"/>
    <xf numFmtId="165" fontId="0" fillId="3" borderId="27" xfId="0" applyNumberFormat="1" applyFill="1" applyBorder="1"/>
    <xf numFmtId="0" fontId="21" fillId="4" borderId="20" xfId="0" applyFont="1" applyFill="1" applyBorder="1" applyAlignment="1">
      <alignment horizontal="center"/>
    </xf>
    <xf numFmtId="0" fontId="5" fillId="4" borderId="21" xfId="0" applyFont="1" applyFill="1" applyBorder="1" applyAlignment="1">
      <alignment horizontal="center"/>
    </xf>
    <xf numFmtId="0" fontId="21" fillId="4" borderId="22" xfId="0" applyFont="1" applyFill="1" applyBorder="1" applyAlignment="1">
      <alignment horizontal="center"/>
    </xf>
    <xf numFmtId="0" fontId="5" fillId="4" borderId="23" xfId="0" applyFont="1" applyFill="1" applyBorder="1" applyAlignment="1">
      <alignment horizontal="center"/>
    </xf>
    <xf numFmtId="0" fontId="21" fillId="4" borderId="26" xfId="0" applyFont="1" applyFill="1" applyBorder="1" applyAlignment="1">
      <alignment horizontal="center"/>
    </xf>
    <xf numFmtId="0" fontId="21" fillId="4" borderId="27" xfId="0" applyFont="1" applyFill="1" applyBorder="1" applyAlignment="1">
      <alignment horizontal="center"/>
    </xf>
    <xf numFmtId="0" fontId="0" fillId="4" borderId="22" xfId="0" applyFill="1" applyBorder="1"/>
    <xf numFmtId="165" fontId="0" fillId="4" borderId="0" xfId="0" applyNumberFormat="1" applyFill="1" applyBorder="1"/>
    <xf numFmtId="0" fontId="0" fillId="4" borderId="0" xfId="0" applyFill="1" applyBorder="1"/>
    <xf numFmtId="0" fontId="0" fillId="4" borderId="23" xfId="0" applyFill="1" applyBorder="1"/>
    <xf numFmtId="2" fontId="0" fillId="4" borderId="22" xfId="0" applyNumberFormat="1" applyFill="1" applyBorder="1"/>
    <xf numFmtId="2" fontId="0" fillId="4" borderId="0" xfId="0" applyNumberFormat="1" applyFill="1" applyBorder="1"/>
    <xf numFmtId="2" fontId="0" fillId="4" borderId="23" xfId="0" applyNumberFormat="1" applyFill="1" applyBorder="1"/>
    <xf numFmtId="2" fontId="0" fillId="4" borderId="26" xfId="0" applyNumberFormat="1" applyFill="1" applyBorder="1"/>
    <xf numFmtId="165" fontId="0" fillId="4" borderId="19" xfId="0" applyNumberFormat="1" applyFill="1" applyBorder="1"/>
    <xf numFmtId="2" fontId="0" fillId="4" borderId="19" xfId="0" applyNumberFormat="1" applyFill="1" applyBorder="1"/>
    <xf numFmtId="2" fontId="0" fillId="4" borderId="27" xfId="0" applyNumberFormat="1" applyFill="1" applyBorder="1"/>
    <xf numFmtId="0" fontId="0" fillId="9" borderId="22" xfId="0" applyFill="1" applyBorder="1"/>
    <xf numFmtId="0" fontId="0" fillId="9" borderId="0" xfId="0" applyFill="1" applyBorder="1"/>
    <xf numFmtId="0" fontId="0" fillId="9" borderId="23" xfId="0" applyFill="1" applyBorder="1"/>
    <xf numFmtId="0" fontId="2" fillId="9" borderId="22" xfId="0" applyFont="1" applyFill="1" applyBorder="1"/>
    <xf numFmtId="0" fontId="2" fillId="9" borderId="0" xfId="0" applyFont="1" applyFill="1" applyBorder="1"/>
    <xf numFmtId="0" fontId="2" fillId="9" borderId="23" xfId="0" applyFont="1" applyFill="1" applyBorder="1"/>
    <xf numFmtId="0" fontId="6" fillId="9" borderId="22" xfId="0" applyFont="1" applyFill="1" applyBorder="1"/>
    <xf numFmtId="0" fontId="6" fillId="9" borderId="0" xfId="0" applyFont="1" applyFill="1" applyBorder="1"/>
    <xf numFmtId="2" fontId="6" fillId="9" borderId="0" xfId="0" applyNumberFormat="1" applyFont="1" applyFill="1" applyBorder="1"/>
    <xf numFmtId="0" fontId="6" fillId="9" borderId="23" xfId="0" applyFont="1" applyFill="1" applyBorder="1"/>
    <xf numFmtId="0" fontId="5" fillId="9" borderId="22" xfId="0" applyFont="1" applyFill="1" applyBorder="1"/>
    <xf numFmtId="0" fontId="5" fillId="9" borderId="0" xfId="0" applyFont="1" applyFill="1" applyBorder="1" applyAlignment="1">
      <alignment horizontal="center"/>
    </xf>
    <xf numFmtId="2" fontId="5" fillId="9" borderId="0" xfId="0" applyNumberFormat="1" applyFont="1" applyFill="1" applyBorder="1" applyAlignment="1">
      <alignment horizontal="center"/>
    </xf>
    <xf numFmtId="0" fontId="5" fillId="9" borderId="23" xfId="0" applyFont="1" applyFill="1" applyBorder="1"/>
    <xf numFmtId="1" fontId="5" fillId="6" borderId="0" xfId="0" applyNumberFormat="1" applyFont="1" applyFill="1" applyBorder="1"/>
    <xf numFmtId="0" fontId="0" fillId="6" borderId="4" xfId="0" applyFill="1" applyBorder="1"/>
    <xf numFmtId="2" fontId="5" fillId="6" borderId="0" xfId="0" applyNumberFormat="1" applyFont="1" applyFill="1" applyBorder="1"/>
    <xf numFmtId="0" fontId="5" fillId="4" borderId="19" xfId="0" applyFont="1" applyFill="1" applyBorder="1" applyAlignment="1">
      <alignment horizontal="center"/>
    </xf>
  </cellXfs>
  <cellStyles count="8">
    <cellStyle name="Comma0" xfId="6"/>
    <cellStyle name="Currency0" xfId="7"/>
    <cellStyle name="Date" xfId="2"/>
    <cellStyle name="Fixed" xfId="1"/>
    <cellStyle name="Heading 1" xfId="3" builtinId="16" customBuiltin="1"/>
    <cellStyle name="Heading 2" xfId="4" builtinId="17" customBuiltin="1"/>
    <cellStyle name="Normal" xfId="0" builtinId="0"/>
    <cellStyle name="Total" xfId="5" builtinId="25"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FFFFF"/>
      <rgbColor rgb="00C0C0C0"/>
      <rgbColor rgb="00808080"/>
      <rgbColor rgb="00000000"/>
      <rgbColor rgb="00FF0000"/>
      <rgbColor rgb="000000FF"/>
      <rgbColor rgb="00FFFF00"/>
      <rgbColor rgb="00808000"/>
      <rgbColor rgb="00FFFFFF"/>
      <rgbColor rgb="00FFFFFF"/>
      <rgbColor rgb="00FFFFFF"/>
      <rgbColor rgb="00FFFFFF"/>
      <rgbColor rgb="00808000"/>
      <rgbColor rgb="00000080"/>
      <rgbColor rgb="00800000"/>
      <rgbColor rgb="00008080"/>
      <rgbColor rgb="00FFFFFF"/>
      <rgbColor rgb="00000050"/>
      <rgbColor rgb="00FFE0C0"/>
      <rgbColor rgb="00B0B0FF"/>
      <rgbColor rgb="00C890FF"/>
      <rgbColor rgb="00A040FF"/>
      <rgbColor rgb="006000C0"/>
      <rgbColor rgb="00005050"/>
      <rgbColor rgb="000080FF"/>
      <rgbColor rgb="00A0D0FF"/>
      <rgbColor rgb="00B0FFFF"/>
      <rgbColor rgb="0070FFFF"/>
      <rgbColor rgb="00005000"/>
      <rgbColor rgb="00B0FFB0"/>
      <rgbColor rgb="00FFFF90"/>
      <rgbColor rgb="00FFCC00"/>
      <rgbColor rgb="00500000"/>
      <rgbColor rgb="00FFB0B0"/>
      <rgbColor rgb="00FFB870"/>
      <rgbColor rgb="00FF8000"/>
      <rgbColor rgb="00FF6000"/>
      <rgbColor rgb="00500050"/>
      <rgbColor rgb="00FFB0FF"/>
      <rgbColor rgb="00FFA0D0"/>
      <rgbColor rgb="00FF80C0"/>
      <rgbColor rgb="00FF0080"/>
      <rgbColor rgb="00909090"/>
      <rgbColor rgb="00E0B090"/>
      <rgbColor rgb="00B07050"/>
      <rgbColor rgb="00FFFFFF"/>
      <rgbColor rgb="00FFFFFF"/>
      <rgbColor rgb="00FFFFFF"/>
      <rgbColor rgb="00804040"/>
      <rgbColor rgb="00200000"/>
      <rgbColor rgb="00400000"/>
      <rgbColor rgb="00600000"/>
      <rgbColor rgb="00800000"/>
      <rgbColor rgb="009F0000"/>
      <rgbColor rgb="00BF0000"/>
      <rgbColor rgb="00DF0000"/>
    </indexedColors>
    <mruColors>
      <color rgb="FF0000FF"/>
      <color rgb="FFCCFFCC"/>
      <color rgb="FFCCFFFF"/>
      <color rgb="FFFF00FF"/>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01799790011814"/>
          <c:y val="6.4542302493967377E-2"/>
          <c:w val="0.83712523602263156"/>
          <c:h val="0.80786612019896786"/>
        </c:manualLayout>
      </c:layout>
      <c:scatterChart>
        <c:scatterStyle val="lineMarker"/>
        <c:varyColors val="0"/>
        <c:ser>
          <c:idx val="0"/>
          <c:order val="0"/>
          <c:tx>
            <c:v>vm</c:v>
          </c:tx>
          <c:spPr>
            <a:ln w="28575">
              <a:noFill/>
            </a:ln>
          </c:spPr>
          <c:marker>
            <c:symbol val="diamond"/>
            <c:size val="6"/>
            <c:spPr>
              <a:solidFill>
                <a:srgbClr val="00FFFF"/>
              </a:solidFill>
              <a:ln>
                <a:solidFill>
                  <a:srgbClr val="0000FF"/>
                </a:solidFill>
              </a:ln>
            </c:spPr>
          </c:marker>
          <c:trendline>
            <c:spPr>
              <a:ln w="15875">
                <a:solidFill>
                  <a:srgbClr val="0000FF"/>
                </a:solidFill>
              </a:ln>
            </c:spPr>
            <c:trendlineType val="power"/>
            <c:forward val="1.5"/>
            <c:dispRSqr val="0"/>
            <c:dispEq val="0"/>
          </c:trendline>
          <c:trendline>
            <c:spPr>
              <a:ln>
                <a:solidFill>
                  <a:srgbClr val="0000FF"/>
                </a:solidFill>
              </a:ln>
            </c:spPr>
            <c:trendlineType val="power"/>
            <c:dispRSqr val="1"/>
            <c:dispEq val="1"/>
            <c:trendlineLbl>
              <c:layout>
                <c:manualLayout>
                  <c:x val="-0.21224791546048735"/>
                  <c:y val="0.12651756637635431"/>
                </c:manualLayout>
              </c:layout>
              <c:tx>
                <c:rich>
                  <a:bodyPr/>
                  <a:lstStyle/>
                  <a:p>
                    <a:pPr>
                      <a:defRPr sz="900">
                        <a:solidFill>
                          <a:srgbClr val="0000FF"/>
                        </a:solidFill>
                      </a:defRPr>
                    </a:pPr>
                    <a:r>
                      <a:rPr lang="en-US" sz="900" baseline="0">
                        <a:solidFill>
                          <a:srgbClr val="0000FF"/>
                        </a:solidFill>
                      </a:rPr>
                      <a:t>vm = 0.63x</a:t>
                    </a:r>
                    <a:r>
                      <a:rPr lang="en-US" sz="900" baseline="30000">
                        <a:solidFill>
                          <a:srgbClr val="0000FF"/>
                        </a:solidFill>
                      </a:rPr>
                      <a:t>0.49</a:t>
                    </a:r>
                    <a:r>
                      <a:rPr lang="en-US" sz="900" baseline="0">
                        <a:solidFill>
                          <a:srgbClr val="0000FF"/>
                        </a:solidFill>
                      </a:rPr>
                      <a:t>
R² = 0.93</a:t>
                    </a:r>
                    <a:endParaRPr lang="en-US" sz="900">
                      <a:solidFill>
                        <a:srgbClr val="0000FF"/>
                      </a:solidFill>
                    </a:endParaRPr>
                  </a:p>
                </c:rich>
              </c:tx>
              <c:numFmt formatCode="General" sourceLinked="0"/>
            </c:trendlineLbl>
          </c:trendline>
          <c:xVal>
            <c:numRef>
              <c:f>Discharge!$Q$32:$Q$40</c:f>
              <c:numCache>
                <c:formatCode>0.00</c:formatCode>
                <c:ptCount val="9"/>
                <c:pt idx="0">
                  <c:v>1.8434608800000001</c:v>
                </c:pt>
                <c:pt idx="1">
                  <c:v>1.8124322400000001</c:v>
                </c:pt>
                <c:pt idx="2">
                  <c:v>1.59056832</c:v>
                </c:pt>
                <c:pt idx="3">
                  <c:v>1.5794736000000003</c:v>
                </c:pt>
                <c:pt idx="4">
                  <c:v>1.0931668459199999</c:v>
                </c:pt>
                <c:pt idx="5">
                  <c:v>0.70673665104000005</c:v>
                </c:pt>
                <c:pt idx="6">
                  <c:v>1.561490030045952</c:v>
                </c:pt>
                <c:pt idx="7">
                  <c:v>2.2810281811603206</c:v>
                </c:pt>
                <c:pt idx="8">
                  <c:v>1.83871903739328</c:v>
                </c:pt>
              </c:numCache>
            </c:numRef>
          </c:xVal>
          <c:yVal>
            <c:numRef>
              <c:f>Discharge!$U$32:$U$40</c:f>
              <c:numCache>
                <c:formatCode>0.00</c:formatCode>
                <c:ptCount val="9"/>
                <c:pt idx="0">
                  <c:v>0.80802939211756852</c:v>
                </c:pt>
                <c:pt idx="1">
                  <c:v>0.83928016937191252</c:v>
                </c:pt>
                <c:pt idx="2">
                  <c:v>0.73511533720725475</c:v>
                </c:pt>
                <c:pt idx="3">
                  <c:v>0.74992764109985532</c:v>
                </c:pt>
                <c:pt idx="4">
                  <c:v>0.65031829555757037</c:v>
                </c:pt>
                <c:pt idx="5">
                  <c:v>0.54159177810218972</c:v>
                </c:pt>
                <c:pt idx="6">
                  <c:v>0.80160909979730544</c:v>
                </c:pt>
                <c:pt idx="7">
                  <c:v>0.98358670005007509</c:v>
                </c:pt>
                <c:pt idx="8">
                  <c:v>0.91101528193325687</c:v>
                </c:pt>
              </c:numCache>
            </c:numRef>
          </c:yVal>
          <c:smooth val="0"/>
        </c:ser>
        <c:ser>
          <c:idx val="1"/>
          <c:order val="1"/>
          <c:tx>
            <c:v>dm</c:v>
          </c:tx>
          <c:spPr>
            <a:ln w="28575">
              <a:noFill/>
            </a:ln>
          </c:spPr>
          <c:marker>
            <c:symbol val="triangle"/>
            <c:size val="6"/>
            <c:spPr>
              <a:solidFill>
                <a:srgbClr val="92D050"/>
              </a:solidFill>
              <a:ln>
                <a:solidFill>
                  <a:srgbClr val="00B050"/>
                </a:solidFill>
              </a:ln>
            </c:spPr>
          </c:marker>
          <c:trendline>
            <c:spPr>
              <a:ln w="15875">
                <a:solidFill>
                  <a:srgbClr val="00B050"/>
                </a:solidFill>
              </a:ln>
            </c:spPr>
            <c:trendlineType val="power"/>
            <c:forward val="1.5"/>
            <c:dispRSqr val="1"/>
            <c:dispEq val="1"/>
            <c:trendlineLbl>
              <c:layout>
                <c:manualLayout>
                  <c:x val="-0.36968791492766728"/>
                  <c:y val="0.18574279661108273"/>
                </c:manualLayout>
              </c:layout>
              <c:tx>
                <c:rich>
                  <a:bodyPr/>
                  <a:lstStyle/>
                  <a:p>
                    <a:pPr>
                      <a:defRPr sz="900">
                        <a:solidFill>
                          <a:srgbClr val="00B050"/>
                        </a:solidFill>
                      </a:defRPr>
                    </a:pPr>
                    <a:r>
                      <a:rPr lang="en-US" sz="900" baseline="0"/>
                      <a:t>dm = 0.1903x</a:t>
                    </a:r>
                    <a:r>
                      <a:rPr lang="en-US" sz="900" baseline="30000"/>
                      <a:t>0.49</a:t>
                    </a:r>
                    <a:r>
                      <a:rPr lang="en-US" sz="900" baseline="0"/>
                      <a:t>
R² = 0.9204</a:t>
                    </a:r>
                    <a:endParaRPr lang="en-US" sz="900"/>
                  </a:p>
                </c:rich>
              </c:tx>
              <c:numFmt formatCode="General" sourceLinked="0"/>
            </c:trendlineLbl>
          </c:trendline>
          <c:xVal>
            <c:numRef>
              <c:f>Discharge!$Q$32:$Q$40</c:f>
              <c:numCache>
                <c:formatCode>0.00</c:formatCode>
                <c:ptCount val="9"/>
                <c:pt idx="0">
                  <c:v>1.8434608800000001</c:v>
                </c:pt>
                <c:pt idx="1">
                  <c:v>1.8124322400000001</c:v>
                </c:pt>
                <c:pt idx="2">
                  <c:v>1.59056832</c:v>
                </c:pt>
                <c:pt idx="3">
                  <c:v>1.5794736000000003</c:v>
                </c:pt>
                <c:pt idx="4">
                  <c:v>1.0931668459199999</c:v>
                </c:pt>
                <c:pt idx="5">
                  <c:v>0.70673665104000005</c:v>
                </c:pt>
                <c:pt idx="6">
                  <c:v>1.561490030045952</c:v>
                </c:pt>
                <c:pt idx="7">
                  <c:v>2.2810281811603206</c:v>
                </c:pt>
                <c:pt idx="8">
                  <c:v>1.83871903739328</c:v>
                </c:pt>
              </c:numCache>
            </c:numRef>
          </c:xVal>
          <c:yVal>
            <c:numRef>
              <c:f>Discharge!$W$32:$W$40</c:f>
              <c:numCache>
                <c:formatCode>0.00</c:formatCode>
                <c:ptCount val="9"/>
                <c:pt idx="0">
                  <c:v>0.26999147928994077</c:v>
                </c:pt>
                <c:pt idx="1">
                  <c:v>0.25556307692307689</c:v>
                </c:pt>
                <c:pt idx="2">
                  <c:v>0.2560590532544379</c:v>
                </c:pt>
                <c:pt idx="3">
                  <c:v>0.24925065088757398</c:v>
                </c:pt>
                <c:pt idx="4">
                  <c:v>0.20011571428571423</c:v>
                </c:pt>
                <c:pt idx="5">
                  <c:v>0.15627844311377248</c:v>
                </c:pt>
                <c:pt idx="6">
                  <c:v>0.22988827338129494</c:v>
                </c:pt>
                <c:pt idx="7">
                  <c:v>0.27173464285714294</c:v>
                </c:pt>
                <c:pt idx="8">
                  <c:v>0.23649214285714282</c:v>
                </c:pt>
              </c:numCache>
            </c:numRef>
          </c:yVal>
          <c:smooth val="0"/>
        </c:ser>
        <c:ser>
          <c:idx val="2"/>
          <c:order val="2"/>
          <c:tx>
            <c:v>wwet</c:v>
          </c:tx>
          <c:spPr>
            <a:ln w="28575">
              <a:noFill/>
            </a:ln>
          </c:spPr>
          <c:marker>
            <c:symbol val="square"/>
            <c:size val="5"/>
            <c:spPr>
              <a:solidFill>
                <a:schemeClr val="accent6">
                  <a:lumMod val="60000"/>
                  <a:lumOff val="40000"/>
                </a:schemeClr>
              </a:solidFill>
              <a:ln>
                <a:solidFill>
                  <a:schemeClr val="accent6">
                    <a:lumMod val="75000"/>
                  </a:schemeClr>
                </a:solidFill>
              </a:ln>
            </c:spPr>
          </c:marker>
          <c:trendline>
            <c:spPr>
              <a:ln>
                <a:solidFill>
                  <a:schemeClr val="accent6">
                    <a:lumMod val="75000"/>
                  </a:schemeClr>
                </a:solidFill>
              </a:ln>
            </c:spPr>
            <c:trendlineType val="power"/>
            <c:forward val="1.5"/>
            <c:dispRSqr val="1"/>
            <c:dispEq val="1"/>
            <c:trendlineLbl>
              <c:layout>
                <c:manualLayout>
                  <c:x val="-0.23452716740016641"/>
                  <c:y val="-1.4196640825202647E-2"/>
                </c:manualLayout>
              </c:layout>
              <c:tx>
                <c:rich>
                  <a:bodyPr/>
                  <a:lstStyle/>
                  <a:p>
                    <a:pPr>
                      <a:defRPr sz="900">
                        <a:solidFill>
                          <a:schemeClr val="accent6">
                            <a:lumMod val="75000"/>
                          </a:schemeClr>
                        </a:solidFill>
                      </a:defRPr>
                    </a:pPr>
                    <a:r>
                      <a:rPr lang="en-US" sz="900" baseline="0">
                        <a:solidFill>
                          <a:schemeClr val="accent6">
                            <a:lumMod val="75000"/>
                          </a:schemeClr>
                        </a:solidFill>
                      </a:rPr>
                      <a:t>wwet = 8.39x</a:t>
                    </a:r>
                    <a:r>
                      <a:rPr lang="en-US" sz="900" baseline="30000">
                        <a:solidFill>
                          <a:schemeClr val="accent6">
                            <a:lumMod val="75000"/>
                          </a:schemeClr>
                        </a:solidFill>
                      </a:rPr>
                      <a:t>0.018</a:t>
                    </a:r>
                    <a:r>
                      <a:rPr lang="en-US" sz="900" baseline="0">
                        <a:solidFill>
                          <a:schemeClr val="accent6">
                            <a:lumMod val="75000"/>
                          </a:schemeClr>
                        </a:solidFill>
                      </a:rPr>
                      <a:t>
R² = 0.79</a:t>
                    </a:r>
                    <a:endParaRPr lang="en-US" sz="900">
                      <a:solidFill>
                        <a:schemeClr val="accent6">
                          <a:lumMod val="75000"/>
                        </a:schemeClr>
                      </a:solidFill>
                    </a:endParaRPr>
                  </a:p>
                </c:rich>
              </c:tx>
              <c:numFmt formatCode="General" sourceLinked="0"/>
            </c:trendlineLbl>
          </c:trendline>
          <c:xVal>
            <c:numRef>
              <c:f>Discharge!$Q$32:$Q$40</c:f>
              <c:numCache>
                <c:formatCode>0.00</c:formatCode>
                <c:ptCount val="9"/>
                <c:pt idx="0">
                  <c:v>1.8434608800000001</c:v>
                </c:pt>
                <c:pt idx="1">
                  <c:v>1.8124322400000001</c:v>
                </c:pt>
                <c:pt idx="2">
                  <c:v>1.59056832</c:v>
                </c:pt>
                <c:pt idx="3">
                  <c:v>1.5794736000000003</c:v>
                </c:pt>
                <c:pt idx="4">
                  <c:v>1.0931668459199999</c:v>
                </c:pt>
                <c:pt idx="5">
                  <c:v>0.70673665104000005</c:v>
                </c:pt>
                <c:pt idx="6">
                  <c:v>1.561490030045952</c:v>
                </c:pt>
                <c:pt idx="7">
                  <c:v>2.2810281811603206</c:v>
                </c:pt>
                <c:pt idx="8">
                  <c:v>1.83871903739328</c:v>
                </c:pt>
              </c:numCache>
            </c:numRef>
          </c:xVal>
          <c:yVal>
            <c:numRef>
              <c:f>Discharge!$V$32:$V$40</c:f>
              <c:numCache>
                <c:formatCode>0.00</c:formatCode>
                <c:ptCount val="9"/>
                <c:pt idx="0">
                  <c:v>8.4500000000000011</c:v>
                </c:pt>
                <c:pt idx="1">
                  <c:v>8.4500000000000011</c:v>
                </c:pt>
                <c:pt idx="2">
                  <c:v>8.4500000000000011</c:v>
                </c:pt>
                <c:pt idx="3">
                  <c:v>8.4500000000000011</c:v>
                </c:pt>
                <c:pt idx="4">
                  <c:v>8.4</c:v>
                </c:pt>
                <c:pt idx="5">
                  <c:v>8.35</c:v>
                </c:pt>
                <c:pt idx="6">
                  <c:v>8.4734400000000001</c:v>
                </c:pt>
                <c:pt idx="7">
                  <c:v>8.5343999999999998</c:v>
                </c:pt>
                <c:pt idx="8">
                  <c:v>8.5343999999999998</c:v>
                </c:pt>
              </c:numCache>
            </c:numRef>
          </c:yVal>
          <c:smooth val="0"/>
        </c:ser>
        <c:dLbls>
          <c:showLegendKey val="0"/>
          <c:showVal val="0"/>
          <c:showCatName val="0"/>
          <c:showSerName val="0"/>
          <c:showPercent val="0"/>
          <c:showBubbleSize val="0"/>
        </c:dLbls>
        <c:axId val="46988672"/>
        <c:axId val="47003520"/>
      </c:scatterChart>
      <c:valAx>
        <c:axId val="46988672"/>
        <c:scaling>
          <c:logBase val="10"/>
          <c:orientation val="minMax"/>
        </c:scaling>
        <c:delete val="0"/>
        <c:axPos val="b"/>
        <c:title>
          <c:tx>
            <c:rich>
              <a:bodyPr/>
              <a:lstStyle/>
              <a:p>
                <a:pPr>
                  <a:defRPr sz="1050"/>
                </a:pPr>
                <a:r>
                  <a:rPr lang="en-US" sz="1050" b="0"/>
                  <a:t>Discharge (m</a:t>
                </a:r>
                <a:r>
                  <a:rPr lang="en-US" sz="1050" b="0" baseline="30000"/>
                  <a:t>3</a:t>
                </a:r>
                <a:r>
                  <a:rPr lang="en-US" sz="1050" b="0"/>
                  <a:t>/s)</a:t>
                </a:r>
              </a:p>
            </c:rich>
          </c:tx>
          <c:layout/>
          <c:overlay val="0"/>
        </c:title>
        <c:numFmt formatCode="General" sourceLinked="0"/>
        <c:majorTickMark val="out"/>
        <c:minorTickMark val="out"/>
        <c:tickLblPos val="nextTo"/>
        <c:crossAx val="47003520"/>
        <c:crossesAt val="0.1"/>
        <c:crossBetween val="midCat"/>
      </c:valAx>
      <c:valAx>
        <c:axId val="47003520"/>
        <c:scaling>
          <c:logBase val="10"/>
          <c:orientation val="minMax"/>
        </c:scaling>
        <c:delete val="0"/>
        <c:axPos val="l"/>
        <c:majorGridlines>
          <c:spPr>
            <a:ln>
              <a:noFill/>
            </a:ln>
          </c:spPr>
        </c:majorGridlines>
        <c:title>
          <c:tx>
            <c:rich>
              <a:bodyPr rot="-5400000" vert="horz"/>
              <a:lstStyle/>
              <a:p>
                <a:pPr>
                  <a:defRPr sz="1050"/>
                </a:pPr>
                <a:r>
                  <a:rPr lang="en-US" sz="1050" b="0">
                    <a:solidFill>
                      <a:srgbClr val="0000FF"/>
                    </a:solidFill>
                  </a:rPr>
                  <a:t>meam velocity (m/s)</a:t>
                </a:r>
                <a:r>
                  <a:rPr lang="en-US" sz="1050" b="0"/>
                  <a:t>; </a:t>
                </a:r>
                <a:r>
                  <a:rPr lang="en-US" sz="1050" b="0">
                    <a:solidFill>
                      <a:srgbClr val="00B050"/>
                    </a:solidFill>
                  </a:rPr>
                  <a:t>mean depth (m)</a:t>
                </a:r>
              </a:p>
            </c:rich>
          </c:tx>
          <c:layout/>
          <c:overlay val="0"/>
        </c:title>
        <c:numFmt formatCode="General" sourceLinked="0"/>
        <c:majorTickMark val="out"/>
        <c:minorTickMark val="out"/>
        <c:tickLblPos val="nextTo"/>
        <c:crossAx val="46988672"/>
        <c:crossesAt val="0.1"/>
        <c:crossBetween val="midCat"/>
      </c:valAx>
      <c:spPr>
        <a:ln w="6350">
          <a:solidFill>
            <a:schemeClr val="bg1">
              <a:lumMod val="50000"/>
            </a:schemeClr>
          </a:solidFill>
        </a:ln>
      </c:spPr>
    </c:plotArea>
    <c:legend>
      <c:legendPos val="r"/>
      <c:legendEntry>
        <c:idx val="3"/>
        <c:delete val="1"/>
      </c:legendEntry>
      <c:legendEntry>
        <c:idx val="4"/>
        <c:delete val="1"/>
      </c:legendEntry>
      <c:legendEntry>
        <c:idx val="5"/>
        <c:delete val="1"/>
      </c:legendEntry>
      <c:legendEntry>
        <c:idx val="6"/>
        <c:delete val="1"/>
      </c:legendEntry>
      <c:layout>
        <c:manualLayout>
          <c:xMode val="edge"/>
          <c:yMode val="edge"/>
          <c:x val="0.82423598600015313"/>
          <c:y val="0.68605732424338706"/>
          <c:w val="0.11143645906824046"/>
          <c:h val="0.15236044637384863"/>
        </c:manualLayout>
      </c:layout>
      <c:overlay val="0"/>
      <c:txPr>
        <a:bodyPr/>
        <a:lstStyle/>
        <a:p>
          <a:pPr>
            <a:defRPr sz="800"/>
          </a:pPr>
          <a:endParaRPr lang="en-US"/>
        </a:p>
      </c:txPr>
    </c:legend>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170452191709253"/>
          <c:y val="5.0604009503369962E-2"/>
          <c:w val="0.79483258055640571"/>
          <c:h val="0.81242400534026227"/>
        </c:manualLayout>
      </c:layout>
      <c:scatterChart>
        <c:scatterStyle val="lineMarker"/>
        <c:varyColors val="0"/>
        <c:ser>
          <c:idx val="0"/>
          <c:order val="0"/>
          <c:tx>
            <c:v>stage</c:v>
          </c:tx>
          <c:spPr>
            <a:ln w="3175">
              <a:noFill/>
            </a:ln>
          </c:spPr>
          <c:marker>
            <c:symbol val="circle"/>
            <c:size val="6"/>
            <c:spPr>
              <a:solidFill>
                <a:srgbClr val="FFC000"/>
              </a:solidFill>
              <a:ln>
                <a:solidFill>
                  <a:srgbClr val="C00000"/>
                </a:solidFill>
              </a:ln>
            </c:spPr>
          </c:marker>
          <c:trendline>
            <c:spPr>
              <a:ln w="15875">
                <a:solidFill>
                  <a:srgbClr val="C00000"/>
                </a:solidFill>
              </a:ln>
            </c:spPr>
            <c:trendlineType val="power"/>
            <c:forward val="10"/>
            <c:backward val="0.5"/>
            <c:dispRSqr val="1"/>
            <c:dispEq val="1"/>
            <c:trendlineLbl>
              <c:layout>
                <c:manualLayout>
                  <c:x val="-0.1916124883682826"/>
                  <c:y val="-1.7293046892383666E-2"/>
                </c:manualLayout>
              </c:layout>
              <c:numFmt formatCode="General" sourceLinked="0"/>
              <c:txPr>
                <a:bodyPr/>
                <a:lstStyle/>
                <a:p>
                  <a:pPr>
                    <a:defRPr sz="800">
                      <a:solidFill>
                        <a:srgbClr val="C00000"/>
                      </a:solidFill>
                    </a:defRPr>
                  </a:pPr>
                  <a:endParaRPr lang="en-US"/>
                </a:p>
              </c:txPr>
            </c:trendlineLbl>
          </c:trendline>
          <c:xVal>
            <c:numRef>
              <c:f>Discharge!$P$32:$P$40</c:f>
              <c:numCache>
                <c:formatCode>General</c:formatCode>
                <c:ptCount val="9"/>
                <c:pt idx="0">
                  <c:v>26</c:v>
                </c:pt>
                <c:pt idx="1">
                  <c:v>26</c:v>
                </c:pt>
                <c:pt idx="2">
                  <c:v>24</c:v>
                </c:pt>
                <c:pt idx="3" formatCode="0">
                  <c:v>24</c:v>
                </c:pt>
                <c:pt idx="4" formatCode="0">
                  <c:v>18</c:v>
                </c:pt>
                <c:pt idx="5" formatCode="0">
                  <c:v>14</c:v>
                </c:pt>
                <c:pt idx="6" formatCode="0">
                  <c:v>21</c:v>
                </c:pt>
                <c:pt idx="7" formatCode="0">
                  <c:v>27</c:v>
                </c:pt>
                <c:pt idx="8" formatCode="0.0">
                  <c:v>24.5</c:v>
                </c:pt>
              </c:numCache>
            </c:numRef>
          </c:xVal>
          <c:yVal>
            <c:numRef>
              <c:f>Discharge!$Q$32:$Q$40</c:f>
              <c:numCache>
                <c:formatCode>0.00</c:formatCode>
                <c:ptCount val="9"/>
                <c:pt idx="0">
                  <c:v>1.8434608800000001</c:v>
                </c:pt>
                <c:pt idx="1">
                  <c:v>1.8124322400000001</c:v>
                </c:pt>
                <c:pt idx="2">
                  <c:v>1.59056832</c:v>
                </c:pt>
                <c:pt idx="3">
                  <c:v>1.5794736000000003</c:v>
                </c:pt>
                <c:pt idx="4">
                  <c:v>1.0931668459199999</c:v>
                </c:pt>
                <c:pt idx="5">
                  <c:v>0.70673665104000005</c:v>
                </c:pt>
                <c:pt idx="6">
                  <c:v>1.561490030045952</c:v>
                </c:pt>
                <c:pt idx="7">
                  <c:v>2.2810281811603206</c:v>
                </c:pt>
                <c:pt idx="8">
                  <c:v>1.83871903739328</c:v>
                </c:pt>
              </c:numCache>
            </c:numRef>
          </c:yVal>
          <c:smooth val="0"/>
        </c:ser>
        <c:dLbls>
          <c:showLegendKey val="0"/>
          <c:showVal val="0"/>
          <c:showCatName val="0"/>
          <c:showSerName val="0"/>
          <c:showPercent val="0"/>
          <c:showBubbleSize val="0"/>
        </c:dLbls>
        <c:axId val="47021440"/>
        <c:axId val="47028480"/>
      </c:scatterChart>
      <c:valAx>
        <c:axId val="47021440"/>
        <c:scaling>
          <c:logBase val="10"/>
          <c:orientation val="minMax"/>
        </c:scaling>
        <c:delete val="0"/>
        <c:axPos val="b"/>
        <c:title>
          <c:tx>
            <c:rich>
              <a:bodyPr/>
              <a:lstStyle/>
              <a:p>
                <a:pPr>
                  <a:defRPr sz="1050"/>
                </a:pPr>
                <a:r>
                  <a:rPr lang="en-US" sz="1050" b="0"/>
                  <a:t>Stage (cm)</a:t>
                </a:r>
              </a:p>
            </c:rich>
          </c:tx>
          <c:layout/>
          <c:overlay val="0"/>
        </c:title>
        <c:numFmt formatCode="General" sourceLinked="0"/>
        <c:majorTickMark val="out"/>
        <c:minorTickMark val="out"/>
        <c:tickLblPos val="nextTo"/>
        <c:crossAx val="47028480"/>
        <c:crossesAt val="0.1"/>
        <c:crossBetween val="midCat"/>
      </c:valAx>
      <c:valAx>
        <c:axId val="47028480"/>
        <c:scaling>
          <c:logBase val="10"/>
          <c:orientation val="minMax"/>
        </c:scaling>
        <c:delete val="0"/>
        <c:axPos val="l"/>
        <c:majorGridlines>
          <c:spPr>
            <a:ln>
              <a:noFill/>
            </a:ln>
          </c:spPr>
        </c:majorGridlines>
        <c:title>
          <c:tx>
            <c:rich>
              <a:bodyPr rot="-5400000" vert="horz"/>
              <a:lstStyle/>
              <a:p>
                <a:pPr>
                  <a:defRPr sz="1050"/>
                </a:pPr>
                <a:r>
                  <a:rPr lang="en-US" sz="1050" b="0"/>
                  <a:t>Discharge (m</a:t>
                </a:r>
                <a:r>
                  <a:rPr lang="en-US" sz="1050" b="0" baseline="30000"/>
                  <a:t>3</a:t>
                </a:r>
                <a:r>
                  <a:rPr lang="en-US" sz="1050" b="0"/>
                  <a:t>/s)</a:t>
                </a:r>
              </a:p>
            </c:rich>
          </c:tx>
          <c:layout/>
          <c:overlay val="0"/>
        </c:title>
        <c:numFmt formatCode="General" sourceLinked="0"/>
        <c:majorTickMark val="out"/>
        <c:minorTickMark val="out"/>
        <c:tickLblPos val="nextTo"/>
        <c:crossAx val="47021440"/>
        <c:crossesAt val="0.1"/>
        <c:crossBetween val="midCat"/>
      </c:valAx>
      <c:spPr>
        <a:ln>
          <a:noFill/>
        </a:ln>
      </c:spPr>
    </c:plotArea>
    <c:plotVisOnly val="1"/>
    <c:dispBlanksAs val="gap"/>
    <c:showDLblsOverMax val="0"/>
  </c:chart>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5387340" cy="1615440"/>
    <xdr:sp macro="" textlink="">
      <xdr:nvSpPr>
        <xdr:cNvPr id="4" name="TextBox 3"/>
        <xdr:cNvSpPr txBox="1"/>
      </xdr:nvSpPr>
      <xdr:spPr>
        <a:xfrm>
          <a:off x="609600" y="0"/>
          <a:ext cx="5387340" cy="1615440"/>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r>
            <a:rPr lang="en-US" sz="1100">
              <a:solidFill>
                <a:schemeClr val="tx1"/>
              </a:solidFill>
              <a:effectLst/>
              <a:latin typeface="+mn-lt"/>
              <a:ea typeface="+mn-ea"/>
              <a:cs typeface="+mn-cs"/>
            </a:rPr>
            <a:t>The worksheets are "live", in order to allow a user to see whether a cell contains a data entry or a formula used to compute a value.  Some of the data in a cell may also be linked to another worksheet.  While this arrangement clearly shows the origin of all cell values, it makes the spreadsheets vulnerable to inadvertent change.</a:t>
          </a:r>
        </a:p>
        <a:p>
          <a:endParaRPr lang="en-US" sz="1100" b="1" baseline="0">
            <a:solidFill>
              <a:srgbClr val="0000FF"/>
            </a:solidFill>
          </a:endParaRPr>
        </a:p>
        <a:p>
          <a:r>
            <a:rPr lang="en-US" sz="1400" b="1" baseline="0">
              <a:solidFill>
                <a:srgbClr val="0000FF"/>
              </a:solidFill>
            </a:rPr>
            <a:t>The user is advised to be aware of this arrangement and create a fixed-value copy before working with the data!  </a:t>
          </a:r>
        </a:p>
      </xdr:txBody>
    </xdr:sp>
    <xdr:clientData/>
  </xdr:oneCellAnchor>
  <xdr:oneCellAnchor>
    <xdr:from>
      <xdr:col>1</xdr:col>
      <xdr:colOff>0</xdr:colOff>
      <xdr:row>10</xdr:row>
      <xdr:rowOff>0</xdr:rowOff>
    </xdr:from>
    <xdr:ext cx="5455919" cy="13426440"/>
    <xdr:sp macro="" textlink="">
      <xdr:nvSpPr>
        <xdr:cNvPr id="5" name="TextBox 4"/>
        <xdr:cNvSpPr txBox="1"/>
      </xdr:nvSpPr>
      <xdr:spPr>
        <a:xfrm>
          <a:off x="609600" y="1676400"/>
          <a:ext cx="5455919" cy="1342644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chemeClr val="tx1"/>
              </a:solidFill>
              <a:effectLst/>
              <a:latin typeface="+mn-lt"/>
              <a:ea typeface="+mn-ea"/>
              <a:cs typeface="+mn-cs"/>
            </a:rPr>
            <a:t>Worksheet Overview</a:t>
          </a:r>
          <a:endParaRPr lang="en-US" sz="1400">
            <a:solidFill>
              <a:schemeClr val="tx1"/>
            </a:solidFill>
            <a:effectLst/>
            <a:latin typeface="+mn-lt"/>
            <a:ea typeface="+mn-ea"/>
            <a:cs typeface="+mn-cs"/>
          </a:endParaRP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Navigation</a:t>
          </a:r>
          <a:r>
            <a:rPr lang="en-US" sz="1100" u="sng">
              <a:solidFill>
                <a:schemeClr val="tx1"/>
              </a:solidFill>
              <a:effectLst/>
              <a:latin typeface="+mn-lt"/>
              <a:ea typeface="+mn-ea"/>
              <a:cs typeface="+mn-cs"/>
              <a:sym typeface="Symbol"/>
            </a:rPr>
            <a:t></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text on this worksheet offers a brief overview of the kind of information contained in the "Discharge" worksheets of the files "Stream name_year_Discharge".  </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Methods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The text on this worksheet provides explanations on the locations, measurements, and computation of discharge at the study site.</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Discharge</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This worksheet includes four major sections: </a:t>
          </a:r>
        </a:p>
        <a:p>
          <a:r>
            <a:rPr lang="en-US" sz="1100" b="1">
              <a:solidFill>
                <a:schemeClr val="tx1"/>
              </a:solidFill>
              <a:effectLst/>
              <a:latin typeface="+mn-lt"/>
              <a:ea typeface="+mn-ea"/>
              <a:cs typeface="+mn-cs"/>
            </a:rPr>
            <a:t>A. Field data and analysis for individual discharge measurements</a:t>
          </a:r>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B. Summary table for stage readings, discharge measurements, and computed flow parameters</a:t>
          </a:r>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C. Plotted stage-discharge relations</a:t>
          </a:r>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D. Plotted hydraulic-geometry relations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Text boxes within the Blocks A. and B. explain the computations and provide site-specific information.</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A. Field data and analysis for individual discharge measurements</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A sequence of blocks extends down along the left-hand side of the worksheet.  Each block refers to one discharge measurement.  Within each block, the left-hand columns list the field-measured distance across the channel, flow depth, and flow velocity.  Partial cross-sectional area (partial XS </a:t>
          </a:r>
          <a:r>
            <a:rPr lang="en-US" sz="1100" i="1">
              <a:solidFill>
                <a:schemeClr val="tx1"/>
              </a:solidFill>
              <a:effectLst/>
              <a:latin typeface="+mn-lt"/>
              <a:ea typeface="+mn-ea"/>
              <a:cs typeface="+mn-cs"/>
            </a:rPr>
            <a:t>area</a:t>
          </a:r>
          <a:r>
            <a:rPr lang="en-US" sz="1100">
              <a:solidFill>
                <a:schemeClr val="tx1"/>
              </a:solidFill>
              <a:effectLst/>
              <a:latin typeface="+mn-lt"/>
              <a:ea typeface="+mn-ea"/>
              <a:cs typeface="+mn-cs"/>
            </a:rPr>
            <a:t>) and partial cross-sectional discharge (partial XS </a:t>
          </a:r>
          <a:r>
            <a:rPr lang="en-US" sz="1100" i="1">
              <a:solidFill>
                <a:schemeClr val="tx1"/>
              </a:solidFill>
              <a:effectLst/>
              <a:latin typeface="+mn-lt"/>
              <a:ea typeface="+mn-ea"/>
              <a:cs typeface="+mn-cs"/>
            </a:rPr>
            <a:t>discharge</a:t>
          </a:r>
          <a:r>
            <a:rPr lang="en-US" sz="1100">
              <a:solidFill>
                <a:schemeClr val="tx1"/>
              </a:solidFill>
              <a:effectLst/>
              <a:latin typeface="+mn-lt"/>
              <a:ea typeface="+mn-ea"/>
              <a:cs typeface="+mn-cs"/>
            </a:rPr>
            <a:t>) are computed the right-hand columns of the discharge block adjacent to the field data entries.  The columns of partial cross-sectional flow areas (partial XS </a:t>
          </a:r>
          <a:r>
            <a:rPr lang="en-US" sz="1100" i="1">
              <a:solidFill>
                <a:schemeClr val="tx1"/>
              </a:solidFill>
              <a:effectLst/>
              <a:latin typeface="+mn-lt"/>
              <a:ea typeface="+mn-ea"/>
              <a:cs typeface="+mn-cs"/>
            </a:rPr>
            <a:t>area</a:t>
          </a:r>
          <a:r>
            <a:rPr lang="en-US" sz="1100">
              <a:solidFill>
                <a:schemeClr val="tx1"/>
              </a:solidFill>
              <a:effectLst/>
              <a:latin typeface="+mn-lt"/>
              <a:ea typeface="+mn-ea"/>
              <a:cs typeface="+mn-cs"/>
            </a:rPr>
            <a:t>) and partial cross-sectional discharges (partial XS </a:t>
          </a:r>
          <a:r>
            <a:rPr lang="en-US" sz="1100" i="1">
              <a:solidFill>
                <a:schemeClr val="tx1"/>
              </a:solidFill>
              <a:effectLst/>
              <a:latin typeface="+mn-lt"/>
              <a:ea typeface="+mn-ea"/>
              <a:cs typeface="+mn-cs"/>
            </a:rPr>
            <a:t>discharge</a:t>
          </a:r>
          <a:r>
            <a:rPr lang="en-US" sz="1100">
              <a:solidFill>
                <a:schemeClr val="tx1"/>
              </a:solidFill>
              <a:effectLst/>
              <a:latin typeface="+mn-lt"/>
              <a:ea typeface="+mn-ea"/>
              <a:cs typeface="+mn-cs"/>
            </a:rPr>
            <a:t>) are then summed over the cross-section in the bottom rows of each discharge block.  Wetted channel width is likewise indicated here.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Information on the start and finish time of each measurement and staff gauge readings at those times, as well as the average stage height for the central time of the measurements are displayed at the top of each block.  A text box above the sequence of blocks provides details on data collection and computations.</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B. Summary table for stage readings, discharge measurements, and computed flow parameters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Summary values (including stage readings, cross-sectional area, discharge, and channel width) computed for each discharge measurement in block A are transferred into block B. </a:t>
          </a:r>
          <a:r>
            <a:rPr lang="en-US" sz="1100" b="1">
              <a:solidFill>
                <a:schemeClr val="tx1"/>
              </a:solidFill>
              <a:effectLst/>
              <a:latin typeface="+mn-lt"/>
              <a:ea typeface="+mn-ea"/>
              <a:cs typeface="+mn-cs"/>
            </a:rPr>
            <a:t>Summary table for stage readings, discharge measurements</a:t>
          </a:r>
          <a:r>
            <a:rPr lang="en-US" sz="1100">
              <a:solidFill>
                <a:schemeClr val="tx1"/>
              </a:solidFill>
              <a:effectLst/>
              <a:latin typeface="+mn-lt"/>
              <a:ea typeface="+mn-ea"/>
              <a:cs typeface="+mn-cs"/>
            </a:rPr>
            <a:t> located to the right of the discharge blocks.  Section 1 (</a:t>
          </a:r>
          <a:r>
            <a:rPr lang="en-US" sz="1100" b="1">
              <a:solidFill>
                <a:schemeClr val="tx1"/>
              </a:solidFill>
              <a:effectLst/>
              <a:latin typeface="+mn-lt"/>
              <a:ea typeface="+mn-ea"/>
              <a:cs typeface="+mn-cs"/>
            </a:rPr>
            <a:t>Date and time of stage readings associated with discharge measurements</a:t>
          </a:r>
          <a:r>
            <a:rPr lang="en-US" sz="1100">
              <a:solidFill>
                <a:schemeClr val="tx1"/>
              </a:solidFill>
              <a:effectLst/>
              <a:latin typeface="+mn-lt"/>
              <a:ea typeface="+mn-ea"/>
              <a:cs typeface="+mn-cs"/>
            </a:rPr>
            <a:t>) in Block B summarizes the date and mean time of discharge, staff gage, and Aquarod</a:t>
          </a:r>
          <a:r>
            <a:rPr lang="en-US" sz="1100" baseline="30000">
              <a:solidFill>
                <a:schemeClr val="tx1"/>
              </a:solidFill>
              <a:effectLst/>
              <a:latin typeface="+mn-lt"/>
              <a:ea typeface="+mn-ea"/>
              <a:cs typeface="+mn-cs"/>
            </a:rPr>
            <a:t>TM</a:t>
          </a:r>
          <a:r>
            <a:rPr lang="en-US" sz="1100">
              <a:solidFill>
                <a:schemeClr val="tx1"/>
              </a:solidFill>
              <a:effectLst/>
              <a:latin typeface="+mn-lt"/>
              <a:ea typeface="+mn-ea"/>
              <a:cs typeface="+mn-cs"/>
            </a:rPr>
            <a:t> measurements collected at a site.  Readings from two or more staff gages installed on opposite banks are sometimes averaged and recorded into a new column of the summary table in an effort to obtain a more representative estimate of the water surface height over a cross-section.  Section 2 (</a:t>
          </a:r>
          <a:r>
            <a:rPr lang="en-US" sz="1100" b="1">
              <a:solidFill>
                <a:schemeClr val="tx1"/>
              </a:solidFill>
              <a:effectLst/>
              <a:latin typeface="+mn-lt"/>
              <a:ea typeface="+mn-ea"/>
              <a:cs typeface="+mn-cs"/>
            </a:rPr>
            <a:t>Hydraulic geometry</a:t>
          </a:r>
          <a:r>
            <a:rPr lang="en-US" sz="1100">
              <a:solidFill>
                <a:schemeClr val="tx1"/>
              </a:solidFill>
              <a:effectLst/>
              <a:latin typeface="+mn-lt"/>
              <a:ea typeface="+mn-ea"/>
              <a:cs typeface="+mn-cs"/>
            </a:rPr>
            <a:t>) in Block B summarizes the cross-sectional areas (</a:t>
          </a:r>
          <a:r>
            <a:rPr lang="en-US" sz="1100" i="1">
              <a:solidFill>
                <a:schemeClr val="tx1"/>
              </a:solidFill>
              <a:effectLst/>
              <a:latin typeface="+mn-lt"/>
              <a:ea typeface="+mn-ea"/>
              <a:cs typeface="+mn-cs"/>
            </a:rPr>
            <a:t>A</a:t>
          </a:r>
          <a:r>
            <a:rPr lang="en-US" sz="1100">
              <a:solidFill>
                <a:schemeClr val="tx1"/>
              </a:solidFill>
              <a:effectLst/>
              <a:latin typeface="+mn-lt"/>
              <a:ea typeface="+mn-ea"/>
              <a:cs typeface="+mn-cs"/>
            </a:rPr>
            <a:t>) and discharges (</a:t>
          </a:r>
          <a:r>
            <a:rPr lang="en-US" sz="1100" i="1">
              <a:solidFill>
                <a:schemeClr val="tx1"/>
              </a:solidFill>
              <a:effectLst/>
              <a:latin typeface="+mn-lt"/>
              <a:ea typeface="+mn-ea"/>
              <a:cs typeface="+mn-cs"/>
            </a:rPr>
            <a:t>Q</a:t>
          </a:r>
          <a:r>
            <a:rPr lang="en-US" sz="1100">
              <a:solidFill>
                <a:schemeClr val="tx1"/>
              </a:solidFill>
              <a:effectLst/>
              <a:latin typeface="+mn-lt"/>
              <a:ea typeface="+mn-ea"/>
              <a:cs typeface="+mn-cs"/>
            </a:rPr>
            <a:t>) as well as wetted channel width (</a:t>
          </a:r>
          <a:r>
            <a:rPr lang="en-US" sz="1100" i="1">
              <a:solidFill>
                <a:schemeClr val="tx1"/>
              </a:solidFill>
              <a:effectLst/>
              <a:latin typeface="+mn-lt"/>
              <a:ea typeface="+mn-ea"/>
              <a:cs typeface="+mn-cs"/>
            </a:rPr>
            <a:t>w</a:t>
          </a:r>
          <a:r>
            <a:rPr lang="en-US" sz="1100" i="1" baseline="-25000">
              <a:solidFill>
                <a:schemeClr val="tx1"/>
              </a:solidFill>
              <a:effectLst/>
              <a:latin typeface="+mn-lt"/>
              <a:ea typeface="+mn-ea"/>
              <a:cs typeface="+mn-cs"/>
            </a:rPr>
            <a:t>wet</a:t>
          </a:r>
          <a:r>
            <a:rPr lang="en-US" sz="1100">
              <a:solidFill>
                <a:schemeClr val="tx1"/>
              </a:solidFill>
              <a:effectLst/>
              <a:latin typeface="+mn-lt"/>
              <a:ea typeface="+mn-ea"/>
              <a:cs typeface="+mn-cs"/>
            </a:rPr>
            <a:t>) computed from each discharge measurement at the site in Block A.  The columns to the right list mean flow velocity and mean flow depth for the cross-section which are computed from for each discharge measurement from </a:t>
          </a:r>
          <a:r>
            <a:rPr lang="en-US" sz="1100" i="1">
              <a:solidFill>
                <a:schemeClr val="tx1"/>
              </a:solidFill>
              <a:effectLst/>
              <a:latin typeface="+mn-lt"/>
              <a:ea typeface="+mn-ea"/>
              <a:cs typeface="+mn-cs"/>
            </a:rPr>
            <a:t>Q</a:t>
          </a:r>
          <a:r>
            <a:rPr lang="en-US" sz="1100">
              <a:solidFill>
                <a:schemeClr val="tx1"/>
              </a:solidFill>
              <a:effectLst/>
              <a:latin typeface="+mn-lt"/>
              <a:ea typeface="+mn-ea"/>
              <a:cs typeface="+mn-cs"/>
            </a:rPr>
            <a:t>, </a:t>
          </a:r>
          <a:r>
            <a:rPr lang="en-US" sz="1100" i="1">
              <a:solidFill>
                <a:schemeClr val="tx1"/>
              </a:solidFill>
              <a:effectLst/>
              <a:latin typeface="+mn-lt"/>
              <a:ea typeface="+mn-ea"/>
              <a:cs typeface="+mn-cs"/>
            </a:rPr>
            <a:t>A</a:t>
          </a:r>
          <a:r>
            <a:rPr lang="en-US" sz="1100">
              <a:solidFill>
                <a:schemeClr val="tx1"/>
              </a:solidFill>
              <a:effectLst/>
              <a:latin typeface="+mn-lt"/>
              <a:ea typeface="+mn-ea"/>
              <a:cs typeface="+mn-cs"/>
            </a:rPr>
            <a:t>, and </a:t>
          </a:r>
          <a:r>
            <a:rPr lang="en-US" sz="1100" i="1">
              <a:solidFill>
                <a:schemeClr val="tx1"/>
              </a:solidFill>
              <a:effectLst/>
              <a:latin typeface="+mn-lt"/>
              <a:ea typeface="+mn-ea"/>
              <a:cs typeface="+mn-cs"/>
            </a:rPr>
            <a:t>w</a:t>
          </a:r>
          <a:r>
            <a:rPr lang="en-US" sz="1100" i="1" baseline="-25000">
              <a:solidFill>
                <a:schemeClr val="tx1"/>
              </a:solidFill>
              <a:effectLst/>
              <a:latin typeface="+mn-lt"/>
              <a:ea typeface="+mn-ea"/>
              <a:cs typeface="+mn-cs"/>
            </a:rPr>
            <a:t>wet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C. Plotted stage-discharge relations</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In this block, stage readings from staff gauge(s) and/or Aquarod(s) listed in Section 1 of Block B are plotted versus measured discharge to determine one or several stage-discharge relationships for the study site.  At some sites, a final stage-discharge relation was constructed from sections of individual stage-discharge relations.  At sites where applicable, plots of stage versus discharge were developed for stage or Aquarod™ measurements and nearby USGS gauges.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D. Plotted hydraulic-geometry relations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Wetted channel width as well as mean depth and mean velocity listed in Sections 1 and 2 are plotted versus discharge in this block to determine hydraulic-geometry relationships at the study site.  If banks were near vertical and the wetted width did not vary much with increasing flow, the relation of </a:t>
          </a:r>
          <a:r>
            <a:rPr lang="en-US" sz="1100" i="1">
              <a:solidFill>
                <a:schemeClr val="tx1"/>
              </a:solidFill>
              <a:effectLst/>
              <a:latin typeface="+mn-lt"/>
              <a:ea typeface="+mn-ea"/>
              <a:cs typeface="+mn-cs"/>
            </a:rPr>
            <a:t>w</a:t>
          </a:r>
          <a:r>
            <a:rPr lang="en-US" sz="1100" i="1" baseline="-25000">
              <a:solidFill>
                <a:schemeClr val="tx1"/>
              </a:solidFill>
              <a:effectLst/>
              <a:latin typeface="+mn-lt"/>
              <a:ea typeface="+mn-ea"/>
              <a:cs typeface="+mn-cs"/>
            </a:rPr>
            <a:t>wet</a:t>
          </a:r>
          <a:r>
            <a:rPr lang="en-US" sz="1100">
              <a:solidFill>
                <a:schemeClr val="tx1"/>
              </a:solidFill>
              <a:effectLst/>
              <a:latin typeface="+mn-lt"/>
              <a:ea typeface="+mn-ea"/>
              <a:cs typeface="+mn-cs"/>
            </a:rPr>
            <a:t> vs. discharge was typically not plotted.</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Finally, a file for one stream may contain two worksheets for "Discharge" if discharge was measured at different locations along the channel (e.g., Halfmoon Creek_2004_Discharge.xlsx).  In this case, both worksheets are similarly organized.</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Reports &amp; Refs.</a:t>
          </a:r>
          <a:r>
            <a:rPr lang="en-US" sz="1100" u="sng">
              <a:solidFill>
                <a:schemeClr val="tx1"/>
              </a:solidFill>
              <a:effectLst/>
              <a:latin typeface="+mn-lt"/>
              <a:ea typeface="+mn-ea"/>
              <a:cs typeface="+mn-cs"/>
              <a:sym typeface="Symbol"/>
            </a:rPr>
            <a:t></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This worksheet lists reports and other references pertaining to a study site.</a:t>
          </a:r>
        </a:p>
        <a:p>
          <a:r>
            <a:rPr lang="en-US" sz="1100">
              <a:solidFill>
                <a:schemeClr val="tx1"/>
              </a:solidFill>
              <a:effectLst/>
              <a:latin typeface="+mn-lt"/>
              <a:ea typeface="+mn-ea"/>
              <a:cs typeface="+mn-cs"/>
            </a:rPr>
            <a:t> </a:t>
          </a:r>
        </a:p>
        <a:p>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 at plates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or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d and v near plates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The files East Dallas_2007_Discharge.xlsx and Hayden_2005_Discharge.xlsx have additional worksheets to display point measurements of flow depth and velocity made on or near the bedload trap ground plates.  The information may be useful for hydraulic modeling.</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tx1"/>
            </a:solidFill>
            <a:effectLst/>
            <a:latin typeface="+mn-lt"/>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5387340" cy="1615440"/>
    <xdr:sp macro="" textlink="">
      <xdr:nvSpPr>
        <xdr:cNvPr id="4" name="TextBox 3"/>
        <xdr:cNvSpPr txBox="1"/>
      </xdr:nvSpPr>
      <xdr:spPr>
        <a:xfrm>
          <a:off x="609600" y="0"/>
          <a:ext cx="5387340" cy="1615440"/>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worksheets are "live", in order to allow a user to see whether a cell contains a data entry or a formula used to compute a value.  Some of the data in a cell may also be linked to another worksheet.  While this arrangement clearly shows the origin of all cell values, it makes the spreadsheets vulnerable to inadvertent change.</a:t>
          </a:r>
        </a:p>
        <a:p>
          <a:endParaRPr lang="en-US" sz="1100" b="1" baseline="0">
            <a:solidFill>
              <a:srgbClr val="0000FF"/>
            </a:solidFill>
          </a:endParaRPr>
        </a:p>
        <a:p>
          <a:r>
            <a:rPr lang="en-US" sz="1400" b="1" baseline="0">
              <a:solidFill>
                <a:srgbClr val="0000FF"/>
              </a:solidFill>
            </a:rPr>
            <a:t>The user is advised to be aware of this arrangement and create a fixed-value copy before working with the data!  </a:t>
          </a:r>
        </a:p>
      </xdr:txBody>
    </xdr:sp>
    <xdr:clientData/>
  </xdr:oneCellAnchor>
  <xdr:oneCellAnchor>
    <xdr:from>
      <xdr:col>1</xdr:col>
      <xdr:colOff>0</xdr:colOff>
      <xdr:row>11</xdr:row>
      <xdr:rowOff>0</xdr:rowOff>
    </xdr:from>
    <xdr:ext cx="6313714" cy="17693640"/>
    <xdr:sp macro="" textlink="">
      <xdr:nvSpPr>
        <xdr:cNvPr id="5" name="TextBox 4"/>
        <xdr:cNvSpPr txBox="1"/>
      </xdr:nvSpPr>
      <xdr:spPr>
        <a:xfrm>
          <a:off x="609600" y="1844040"/>
          <a:ext cx="6313714" cy="17693640"/>
        </a:xfrm>
        <a:prstGeom prst="rect">
          <a:avLst/>
        </a:prstGeom>
        <a:solidFill>
          <a:srgbClr val="FFFFCC"/>
        </a:solidFill>
        <a:ln>
          <a:solidFill>
            <a:srgbClr val="00008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91440" tIns="91440" rIns="91440" bIns="91440" rtlCol="0" anchor="t">
          <a:noAutofit/>
        </a:bodyPr>
        <a:lstStyle/>
        <a:p>
          <a:r>
            <a:rPr lang="en-US" sz="1400" b="1">
              <a:solidFill>
                <a:schemeClr val="tx1"/>
              </a:solidFill>
              <a:effectLst/>
              <a:latin typeface="+mn-lt"/>
              <a:ea typeface="+mn-ea"/>
              <a:cs typeface="+mn-cs"/>
            </a:rPr>
            <a:t>Discharge measurement and computation methods</a:t>
          </a:r>
          <a:endParaRPr lang="en-US" sz="1400">
            <a:solidFill>
              <a:schemeClr val="tx1"/>
            </a:solidFill>
            <a:effectLst/>
            <a:latin typeface="+mn-lt"/>
            <a:ea typeface="+mn-ea"/>
            <a:cs typeface="+mn-cs"/>
          </a:endParaRPr>
        </a:p>
        <a:p>
          <a:r>
            <a:rPr lang="en-US" sz="1100">
              <a:solidFill>
                <a:schemeClr val="tx1"/>
              </a:solidFill>
              <a:effectLst/>
              <a:latin typeface="+mn-lt"/>
              <a:ea typeface="+mn-ea"/>
              <a:cs typeface="+mn-cs"/>
            </a:rPr>
            <a:t>Discharge measurements were conducted using the standard procedure (midsection and six-tenths depth method (Turnipseed and Sauer, 2010).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Turnipseed, D.P., and Sauer, V.B., 2010. Discharge measurements at gaging stations: U.S. Geological Survey, Techniques and Methods, book 3, chap. A8, 87 p. </a:t>
          </a:r>
          <a:r>
            <a:rPr lang="en-US" sz="1100" u="sng">
              <a:solidFill>
                <a:schemeClr val="tx1"/>
              </a:solidFill>
              <a:effectLst/>
              <a:latin typeface="+mn-lt"/>
              <a:ea typeface="+mn-ea"/>
              <a:cs typeface="+mn-cs"/>
              <a:hlinkClick xmlns:r="http://schemas.openxmlformats.org/officeDocument/2006/relationships" r:id=""/>
            </a:rPr>
            <a:t>http://pubs.usgs.gov/tm/tm3-a8/</a:t>
          </a:r>
          <a:r>
            <a:rPr lang="en-US" sz="1100">
              <a:solidFill>
                <a:schemeClr val="tx1"/>
              </a:solidFill>
              <a:effectLst/>
              <a:latin typeface="+mn-lt"/>
              <a:ea typeface="+mn-ea"/>
              <a:cs typeface="+mn-cs"/>
            </a:rPr>
            <a:t>.</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Staff gauge locations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Only one or two staff gauges were installed and read in conjunction with bedload and discharge measurements at the early study sites sampled from 1998 to 2002.  Starting in 2004, we deployed several staff gauges as well as two to three automatic water level recorders (Aquarod</a:t>
          </a:r>
          <a:r>
            <a:rPr lang="en-US" sz="1100" baseline="30000">
              <a:solidFill>
                <a:schemeClr val="tx1"/>
              </a:solidFill>
              <a:effectLst/>
              <a:latin typeface="+mn-lt"/>
              <a:ea typeface="+mn-ea"/>
              <a:cs typeface="+mn-cs"/>
            </a:rPr>
            <a:t>TM</a:t>
          </a:r>
          <a:r>
            <a:rPr lang="en-US" sz="1100">
              <a:solidFill>
                <a:schemeClr val="tx1"/>
              </a:solidFill>
              <a:effectLst/>
              <a:latin typeface="+mn-lt"/>
              <a:ea typeface="+mn-ea"/>
              <a:cs typeface="+mn-cs"/>
            </a:rPr>
            <a:t>) at several locations within the reach.  Staff gauges were not installed at East St. Louis (2001 &amp; 2003) and at Fool Creek (2009 &amp; 2010) where the Forest Service maintained well-calibrated gauges.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Some staff gauge locations were affected by intermittent or periodic local water surface waves that touched a bank, while others were affected by local scour and fill of the bed.  At some sites, additional staff gauges were installed during the high-flow season at locations that happened to experience less local disturbance.  Ideally, water-surface elevation should not be controlled by processes other than discharge when establishing the stage-discharge relation.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Location of discharge cross-sections within the reach</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Typically, discharge was not measured in the same cross-section in which the bedload traps were installed.  One reason for the spatial separation was that discharge and bedload transport measurements could not be performed concurrently, and the time spent on discharge measurements would take away from the time during which bedload traps could be sampling.  Another reason was that the bedload trap cross-section was typically wider than the stream average and not suitable for discharge measurements at low flow.  Finally, the ground plates and stakes in the cross-section might disturb the local flow field, especially during lower flows.  For discharge measurements at low flow, a narrow cross-section was selected to ensure that the current meter was fully submerged.  At high flow, velocity measurements were relocated to a wide cross-section to ensure wadeability.  However, when flow became generally unwadeable, operators of discharge measurements had to resort to the safety of the footbridge.  Cross-sections for flow velocity measurements were located either downstream of the bedload trap sampling site or sufficiently far upstream that bed disturbance due to wading would not affect sampled bedload transport rates.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Measurements of local flow depth</a:t>
          </a:r>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and velocity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A tape was spanned across the stream between rebar stakes pounded on either side of the bank.  The lateral location of each velocity measurement (=vertical) was read off the tape as distance from either the left bank or right bank rebar stake.  Following fluvial geomorphology convention, "left bank (LB)" and “right bank (RB)” describes the side of the channel as one faces downstream.  Depending on stream width, flow velocity was measured at 10 to 20 evenly-spaced verticals using a Marsh-McBirney electromagnetic current meter.  The probe of this instrument is housed within a rubber bulb that offers protection from the rough environment of a high-energy mountain stream.  To ensure accurate velocity readings, the probe was calibrated at the beginning of each measurement series in a bucket of fresh, still, stream water placed at the bank.  Total flow depth was measured on a topsetting rod at each vertical, taking care to measure the general water surface rather than the local bulge and trough of the water surface directly at the rod.  Flow depth typically ranged between 0.5 and 2 ft.  Velocity was measured at 60% of the flow depth (down from the surface or 40% above the bed) where the mean flow velocity per vertical is assumed to be best quantified.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Measurements of time and stage</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Time was recorded for the start and finish of each discharge measurement, and a central measurement time was computed from the average.  Stage was typically read at multiple locations before and after each discharge measurement.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Use of mixed metrics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Field equipment used for discharge measurements displayed either English or metric units or both.  We used either unit (e.g., a tape in English units and a metric velocity display or vice a versa) depending on what field equipment was available or convenient for the task.  Units were converted during data reduction, hence, most of the data columns are provided in both English and metric units.</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Computations of mean width, cross-sectional area, and discharge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Field data associated with each discharge measurement (distance from bank, water depth, and flow velocity) were entered into spreadsheet columns for further computation, using a separate block for each discharge measurement.  The first step in discharge computation is to quantify partial XS </a:t>
          </a:r>
          <a:r>
            <a:rPr lang="en-US" sz="1100" i="1">
              <a:solidFill>
                <a:schemeClr val="tx1"/>
              </a:solidFill>
              <a:effectLst/>
              <a:latin typeface="+mn-lt"/>
              <a:ea typeface="+mn-ea"/>
              <a:cs typeface="+mn-cs"/>
            </a:rPr>
            <a:t>areas</a:t>
          </a:r>
          <a:r>
            <a:rPr lang="en-US" sz="1100">
              <a:solidFill>
                <a:schemeClr val="tx1"/>
              </a:solidFill>
              <a:effectLst/>
              <a:latin typeface="+mn-lt"/>
              <a:ea typeface="+mn-ea"/>
              <a:cs typeface="+mn-cs"/>
            </a:rPr>
            <a:t> from the width of the segment between two neighboring verticals multiplied by the mean flow depth of that section, (i.e., the average depth over the two respective verticals).  Multiplication of partial XS </a:t>
          </a:r>
          <a:r>
            <a:rPr lang="en-US" sz="1100" i="1">
              <a:solidFill>
                <a:schemeClr val="tx1"/>
              </a:solidFill>
              <a:effectLst/>
              <a:latin typeface="+mn-lt"/>
              <a:ea typeface="+mn-ea"/>
              <a:cs typeface="+mn-cs"/>
            </a:rPr>
            <a:t>area</a:t>
          </a:r>
          <a:r>
            <a:rPr lang="en-US" sz="1100">
              <a:solidFill>
                <a:schemeClr val="tx1"/>
              </a:solidFill>
              <a:effectLst/>
              <a:latin typeface="+mn-lt"/>
              <a:ea typeface="+mn-ea"/>
              <a:cs typeface="+mn-cs"/>
            </a:rPr>
            <a:t> by the mean velocity (i.e., the average velocity over the two respective verticals) gives partial XS </a:t>
          </a:r>
          <a:r>
            <a:rPr lang="en-US" sz="1100" i="1">
              <a:solidFill>
                <a:schemeClr val="tx1"/>
              </a:solidFill>
              <a:effectLst/>
              <a:latin typeface="+mn-lt"/>
              <a:ea typeface="+mn-ea"/>
              <a:cs typeface="+mn-cs"/>
            </a:rPr>
            <a:t>discharge</a:t>
          </a:r>
          <a:r>
            <a:rPr lang="en-US" sz="1100">
              <a:solidFill>
                <a:schemeClr val="tx1"/>
              </a:solidFill>
              <a:effectLst/>
              <a:latin typeface="+mn-lt"/>
              <a:ea typeface="+mn-ea"/>
              <a:cs typeface="+mn-cs"/>
            </a:rPr>
            <a:t>.  All partial XS </a:t>
          </a:r>
          <a:r>
            <a:rPr lang="en-US" sz="1100" i="1">
              <a:solidFill>
                <a:schemeClr val="tx1"/>
              </a:solidFill>
              <a:effectLst/>
              <a:latin typeface="+mn-lt"/>
              <a:ea typeface="+mn-ea"/>
              <a:cs typeface="+mn-cs"/>
            </a:rPr>
            <a:t>areas</a:t>
          </a:r>
          <a:r>
            <a:rPr lang="en-US" sz="1100">
              <a:solidFill>
                <a:schemeClr val="tx1"/>
              </a:solidFill>
              <a:effectLst/>
              <a:latin typeface="+mn-lt"/>
              <a:ea typeface="+mn-ea"/>
              <a:cs typeface="+mn-cs"/>
            </a:rPr>
            <a:t> and partial XS </a:t>
          </a:r>
          <a:r>
            <a:rPr lang="en-US" sz="1100" i="1">
              <a:solidFill>
                <a:schemeClr val="tx1"/>
              </a:solidFill>
              <a:effectLst/>
              <a:latin typeface="+mn-lt"/>
              <a:ea typeface="+mn-ea"/>
              <a:cs typeface="+mn-cs"/>
            </a:rPr>
            <a:t>discharges</a:t>
          </a:r>
          <a:r>
            <a:rPr lang="en-US" sz="1100">
              <a:solidFill>
                <a:schemeClr val="tx1"/>
              </a:solidFill>
              <a:effectLst/>
              <a:latin typeface="+mn-lt"/>
              <a:ea typeface="+mn-ea"/>
              <a:cs typeface="+mn-cs"/>
            </a:rPr>
            <a:t> are summed to provide the total cross-sectional flow area and total discharge, respectively.  Wetted stream width is computed as the absolute difference of the tape distance between the LB and RB water-surface edges.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Summary table for stage readings, discharge measurements, and computed flow parameters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It is useful to consolidate computed values from the individual discharge measurements in a summary table for further computations of:</a:t>
          </a:r>
        </a:p>
        <a:p>
          <a:r>
            <a:rPr lang="en-US" sz="1100">
              <a:solidFill>
                <a:schemeClr val="tx1"/>
              </a:solidFill>
              <a:effectLst/>
              <a:latin typeface="+mn-lt"/>
              <a:ea typeface="+mn-ea"/>
              <a:cs typeface="+mn-cs"/>
            </a:rPr>
            <a:t>1. Stage-discharge relations,</a:t>
          </a:r>
        </a:p>
        <a:p>
          <a:r>
            <a:rPr lang="en-US" sz="1100">
              <a:solidFill>
                <a:schemeClr val="tx1"/>
              </a:solidFill>
              <a:effectLst/>
              <a:latin typeface="+mn-lt"/>
              <a:ea typeface="+mn-ea"/>
              <a:cs typeface="+mn-cs"/>
            </a:rPr>
            <a:t>2. Hydraulic parameters, and </a:t>
          </a:r>
        </a:p>
        <a:p>
          <a:r>
            <a:rPr lang="en-US" sz="1100">
              <a:solidFill>
                <a:schemeClr val="tx1"/>
              </a:solidFill>
              <a:effectLst/>
              <a:latin typeface="+mn-lt"/>
              <a:ea typeface="+mn-ea"/>
              <a:cs typeface="+mn-cs"/>
            </a:rPr>
            <a:t>3. Hydraulic-geometry relations.</a:t>
          </a:r>
        </a:p>
        <a:p>
          <a:r>
            <a:rPr lang="en-US" sz="1100">
              <a:solidFill>
                <a:schemeClr val="tx1"/>
              </a:solidFill>
              <a:effectLst/>
              <a:latin typeface="+mn-lt"/>
              <a:ea typeface="+mn-ea"/>
              <a:cs typeface="+mn-cs"/>
            </a:rPr>
            <a:t>  </a:t>
          </a:r>
        </a:p>
        <a:p>
          <a:r>
            <a:rPr lang="en-US" sz="1100" i="1">
              <a:solidFill>
                <a:schemeClr val="tx1"/>
              </a:solidFill>
              <a:effectLst/>
              <a:latin typeface="+mn-lt"/>
              <a:ea typeface="+mn-ea"/>
              <a:cs typeface="+mn-cs"/>
            </a:rPr>
            <a:t>1. Stage-discharge relations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Summary values of measurement date and mean time, various stage readings, as well as discharge are used to plot stage versus discharge.  Regression analysis is performed to determine the best-fitting stage-discharge relation.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Establishing stage-discharge relations is not always a straightforward matter.  Breakpoints in the trend of plotted data may suggest fitting different stage-discharge relations for the beginning, middle, and end of a high-flow season.  Also, a stage-discharge relation for one staff gauge location may hold for only part of the high-flow season, while other staff readings may produce better relations for other parts of the high-flow season.  Because the water surface may undulate from bank to bank due to waves or local bed scour and fill, a stage-discharge relation can be improved by averaging the readings from two or more staff gauges.  </a:t>
          </a:r>
        </a:p>
        <a:p>
          <a:r>
            <a:rPr lang="en-US" sz="1100">
              <a:solidFill>
                <a:schemeClr val="tx1"/>
              </a:solidFill>
              <a:effectLst/>
              <a:latin typeface="+mn-lt"/>
              <a:ea typeface="+mn-ea"/>
              <a:cs typeface="+mn-cs"/>
            </a:rPr>
            <a:t> </a:t>
          </a:r>
        </a:p>
        <a:p>
          <a:r>
            <a:rPr lang="en-US" sz="1100" i="1">
              <a:solidFill>
                <a:schemeClr val="tx1"/>
              </a:solidFill>
              <a:effectLst/>
              <a:latin typeface="+mn-lt"/>
              <a:ea typeface="+mn-ea"/>
              <a:cs typeface="+mn-cs"/>
            </a:rPr>
            <a:t>2. Hydraulic parameters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Values for cross-sectional area (</a:t>
          </a:r>
          <a:r>
            <a:rPr lang="en-US" sz="1100" i="1">
              <a:solidFill>
                <a:schemeClr val="tx1"/>
              </a:solidFill>
              <a:effectLst/>
              <a:latin typeface="+mn-lt"/>
              <a:ea typeface="+mn-ea"/>
              <a:cs typeface="+mn-cs"/>
            </a:rPr>
            <a:t>A</a:t>
          </a:r>
          <a:r>
            <a:rPr lang="en-US" sz="1100">
              <a:solidFill>
                <a:schemeClr val="tx1"/>
              </a:solidFill>
              <a:effectLst/>
              <a:latin typeface="+mn-lt"/>
              <a:ea typeface="+mn-ea"/>
              <a:cs typeface="+mn-cs"/>
            </a:rPr>
            <a:t>), discharge (</a:t>
          </a:r>
          <a:r>
            <a:rPr lang="en-US" sz="1100" i="1">
              <a:solidFill>
                <a:schemeClr val="tx1"/>
              </a:solidFill>
              <a:effectLst/>
              <a:latin typeface="+mn-lt"/>
              <a:ea typeface="+mn-ea"/>
              <a:cs typeface="+mn-cs"/>
            </a:rPr>
            <a:t>Q</a:t>
          </a:r>
          <a:r>
            <a:rPr lang="en-US" sz="1100">
              <a:solidFill>
                <a:schemeClr val="tx1"/>
              </a:solidFill>
              <a:effectLst/>
              <a:latin typeface="+mn-lt"/>
              <a:ea typeface="+mn-ea"/>
              <a:cs typeface="+mn-cs"/>
            </a:rPr>
            <a:t>), and wetted channel width (</a:t>
          </a:r>
          <a:r>
            <a:rPr lang="en-US" sz="1100" i="1">
              <a:solidFill>
                <a:schemeClr val="tx1"/>
              </a:solidFill>
              <a:effectLst/>
              <a:latin typeface="+mn-lt"/>
              <a:ea typeface="+mn-ea"/>
              <a:cs typeface="+mn-cs"/>
            </a:rPr>
            <a:t>w</a:t>
          </a:r>
          <a:r>
            <a:rPr lang="en-US" sz="1100" i="1" baseline="-25000">
              <a:solidFill>
                <a:schemeClr val="tx1"/>
              </a:solidFill>
              <a:effectLst/>
              <a:latin typeface="+mn-lt"/>
              <a:ea typeface="+mn-ea"/>
              <a:cs typeface="+mn-cs"/>
            </a:rPr>
            <a:t>wet</a:t>
          </a:r>
          <a:r>
            <a:rPr lang="en-US" sz="1100">
              <a:solidFill>
                <a:schemeClr val="tx1"/>
              </a:solidFill>
              <a:effectLst/>
              <a:latin typeface="+mn-lt"/>
              <a:ea typeface="+mn-ea"/>
              <a:cs typeface="+mn-cs"/>
            </a:rPr>
            <a:t>) obtained from each discharge measurement are used to compute the hydraulic parameters cross-sectional mean flow velocity </a:t>
          </a:r>
          <a:r>
            <a:rPr lang="en-US" sz="1100" i="1">
              <a:solidFill>
                <a:schemeClr val="tx1"/>
              </a:solidFill>
              <a:effectLst/>
              <a:latin typeface="+mn-lt"/>
              <a:ea typeface="+mn-ea"/>
              <a:cs typeface="+mn-cs"/>
            </a:rPr>
            <a:t>v</a:t>
          </a:r>
          <a:r>
            <a:rPr lang="en-US" sz="1100" i="1" baseline="-25000">
              <a:solidFill>
                <a:schemeClr val="tx1"/>
              </a:solidFill>
              <a:effectLst/>
              <a:latin typeface="+mn-lt"/>
              <a:ea typeface="+mn-ea"/>
              <a:cs typeface="+mn-cs"/>
            </a:rPr>
            <a:t>m</a:t>
          </a:r>
          <a:r>
            <a:rPr lang="en-US" sz="1100">
              <a:solidFill>
                <a:schemeClr val="tx1"/>
              </a:solidFill>
              <a:effectLst/>
              <a:latin typeface="+mn-lt"/>
              <a:ea typeface="+mn-ea"/>
              <a:cs typeface="+mn-cs"/>
            </a:rPr>
            <a:t> from </a:t>
          </a:r>
          <a:r>
            <a:rPr lang="en-US" sz="1100" i="1">
              <a:solidFill>
                <a:schemeClr val="tx1"/>
              </a:solidFill>
              <a:effectLst/>
              <a:latin typeface="+mn-lt"/>
              <a:ea typeface="+mn-ea"/>
              <a:cs typeface="+mn-cs"/>
            </a:rPr>
            <a:t>Q</a:t>
          </a:r>
          <a:r>
            <a:rPr lang="en-US" sz="1100">
              <a:solidFill>
                <a:schemeClr val="tx1"/>
              </a:solidFill>
              <a:effectLst/>
              <a:latin typeface="+mn-lt"/>
              <a:ea typeface="+mn-ea"/>
              <a:cs typeface="+mn-cs"/>
            </a:rPr>
            <a:t>/A and the cross-sectional mean flow depth </a:t>
          </a:r>
          <a:r>
            <a:rPr lang="en-US" sz="1100" i="1">
              <a:solidFill>
                <a:schemeClr val="tx1"/>
              </a:solidFill>
              <a:effectLst/>
              <a:latin typeface="+mn-lt"/>
              <a:ea typeface="+mn-ea"/>
              <a:cs typeface="+mn-cs"/>
            </a:rPr>
            <a:t>d</a:t>
          </a:r>
          <a:r>
            <a:rPr lang="en-US" sz="1100" i="1" baseline="-25000">
              <a:solidFill>
                <a:schemeClr val="tx1"/>
              </a:solidFill>
              <a:effectLst/>
              <a:latin typeface="+mn-lt"/>
              <a:ea typeface="+mn-ea"/>
              <a:cs typeface="+mn-cs"/>
            </a:rPr>
            <a:t>m</a:t>
          </a:r>
          <a:r>
            <a:rPr lang="en-US" sz="1100">
              <a:solidFill>
                <a:schemeClr val="tx1"/>
              </a:solidFill>
              <a:effectLst/>
              <a:latin typeface="+mn-lt"/>
              <a:ea typeface="+mn-ea"/>
              <a:cs typeface="+mn-cs"/>
            </a:rPr>
            <a:t> from </a:t>
          </a:r>
          <a:r>
            <a:rPr lang="en-US" sz="1100" i="1">
              <a:solidFill>
                <a:schemeClr val="tx1"/>
              </a:solidFill>
              <a:effectLst/>
              <a:latin typeface="+mn-lt"/>
              <a:ea typeface="+mn-ea"/>
              <a:cs typeface="+mn-cs"/>
            </a:rPr>
            <a:t>A</a:t>
          </a:r>
          <a:r>
            <a:rPr lang="en-US" sz="1100">
              <a:solidFill>
                <a:schemeClr val="tx1"/>
              </a:solidFill>
              <a:effectLst/>
              <a:latin typeface="+mn-lt"/>
              <a:ea typeface="+mn-ea"/>
              <a:cs typeface="+mn-cs"/>
            </a:rPr>
            <a:t>/</a:t>
          </a:r>
          <a:r>
            <a:rPr lang="en-US" sz="1100" i="1">
              <a:solidFill>
                <a:schemeClr val="tx1"/>
              </a:solidFill>
              <a:effectLst/>
              <a:latin typeface="+mn-lt"/>
              <a:ea typeface="+mn-ea"/>
              <a:cs typeface="+mn-cs"/>
            </a:rPr>
            <a:t>w</a:t>
          </a:r>
          <a:r>
            <a:rPr lang="en-US" sz="1100" i="1" baseline="-25000">
              <a:solidFill>
                <a:schemeClr val="tx1"/>
              </a:solidFill>
              <a:effectLst/>
              <a:latin typeface="+mn-lt"/>
              <a:ea typeface="+mn-ea"/>
              <a:cs typeface="+mn-cs"/>
            </a:rPr>
            <a:t>wet</a:t>
          </a:r>
          <a:r>
            <a:rPr lang="en-US" sz="1100">
              <a:solidFill>
                <a:schemeClr val="tx1"/>
              </a:solidFill>
              <a:effectLst/>
              <a:latin typeface="+mn-lt"/>
              <a:ea typeface="+mn-ea"/>
              <a:cs typeface="+mn-cs"/>
            </a:rPr>
            <a:t>.</a:t>
          </a:r>
        </a:p>
        <a:p>
          <a:r>
            <a:rPr lang="en-US" sz="1100">
              <a:solidFill>
                <a:schemeClr val="tx1"/>
              </a:solidFill>
              <a:effectLst/>
              <a:latin typeface="+mn-lt"/>
              <a:ea typeface="+mn-ea"/>
              <a:cs typeface="+mn-cs"/>
            </a:rPr>
            <a:t> </a:t>
          </a:r>
        </a:p>
        <a:p>
          <a:r>
            <a:rPr lang="en-US" sz="1100" i="1">
              <a:solidFill>
                <a:schemeClr val="tx1"/>
              </a:solidFill>
              <a:effectLst/>
              <a:latin typeface="+mn-lt"/>
              <a:ea typeface="+mn-ea"/>
              <a:cs typeface="+mn-cs"/>
            </a:rPr>
            <a:t>3. Hydraulic-geometry relations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Mean flow velocity, and mean flow depth and channel wetted width are plotted against discharge.  Power function regressions fitted to those plots determine the hydraulic-geometry relationships that are useful to assess channel geometry at the study site.  Intra- or extrapolations of fitted hydraulic-geometry relations are used to predict mean flow velocity and mean flow depth at bankfull or the </a:t>
          </a:r>
          <a:r>
            <a:rPr lang="en-US" sz="1100" i="1">
              <a:solidFill>
                <a:schemeClr val="tx1"/>
              </a:solidFill>
              <a:effectLst/>
              <a:latin typeface="+mn-lt"/>
              <a:ea typeface="+mn-ea"/>
              <a:cs typeface="+mn-cs"/>
            </a:rPr>
            <a:t>Q</a:t>
          </a:r>
          <a:r>
            <a:rPr lang="en-US" sz="1100" i="1" baseline="-25000">
              <a:solidFill>
                <a:schemeClr val="tx1"/>
              </a:solidFill>
              <a:effectLst/>
              <a:latin typeface="+mn-lt"/>
              <a:ea typeface="+mn-ea"/>
              <a:cs typeface="+mn-cs"/>
            </a:rPr>
            <a:t>1.5</a:t>
          </a:r>
          <a:r>
            <a:rPr lang="en-US" sz="1100">
              <a:solidFill>
                <a:schemeClr val="tx1"/>
              </a:solidFill>
              <a:effectLst/>
              <a:latin typeface="+mn-lt"/>
              <a:ea typeface="+mn-ea"/>
              <a:cs typeface="+mn-cs"/>
            </a:rPr>
            <a:t> flow or any other flows of interest.  Please note that the plotted relations cannot be extrapolated to flows associated with significant changes in bank angle.</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17</xdr:col>
      <xdr:colOff>317500</xdr:colOff>
      <xdr:row>42</xdr:row>
      <xdr:rowOff>76200</xdr:rowOff>
    </xdr:from>
    <xdr:to>
      <xdr:col>22</xdr:col>
      <xdr:colOff>521046</xdr:colOff>
      <xdr:row>58</xdr:row>
      <xdr:rowOff>147378</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24</xdr:col>
      <xdr:colOff>256309</xdr:colOff>
      <xdr:row>27</xdr:row>
      <xdr:rowOff>47913</xdr:rowOff>
    </xdr:from>
    <xdr:to>
      <xdr:col>29</xdr:col>
      <xdr:colOff>442999</xdr:colOff>
      <xdr:row>44</xdr:row>
      <xdr:rowOff>52474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370668</xdr:colOff>
      <xdr:row>43</xdr:row>
      <xdr:rowOff>105237</xdr:rowOff>
    </xdr:from>
    <xdr:to>
      <xdr:col>21</xdr:col>
      <xdr:colOff>370668</xdr:colOff>
      <xdr:row>56</xdr:row>
      <xdr:rowOff>133812</xdr:rowOff>
    </xdr:to>
    <xdr:cxnSp macro="">
      <xdr:nvCxnSpPr>
        <xdr:cNvPr id="5" name="Straight Connector 4"/>
        <xdr:cNvCxnSpPr/>
      </xdr:nvCxnSpPr>
      <xdr:spPr bwMode="auto">
        <a:xfrm>
          <a:off x="17134668" y="7445837"/>
          <a:ext cx="0" cy="2212975"/>
        </a:xfrm>
        <a:prstGeom prst="line">
          <a:avLst/>
        </a:prstGeom>
        <a:solidFill>
          <a:srgbClr xmlns:mc="http://schemas.openxmlformats.org/markup-compatibility/2006" xmlns:a14="http://schemas.microsoft.com/office/drawing/2010/main" val="C0C0C0" mc:Ignorable="a14" a14:legacySpreadsheetColorIndex="9"/>
        </a:solidFill>
        <a:ln w="3175" cap="flat" cmpd="sng" algn="ctr">
          <a:solidFill>
            <a:schemeClr val="bg1">
              <a:lumMod val="65000"/>
            </a:schemeClr>
          </a:solidFill>
          <a:prstDash val="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1</xdr:col>
      <xdr:colOff>241300</xdr:colOff>
      <xdr:row>1</xdr:row>
      <xdr:rowOff>73025</xdr:rowOff>
    </xdr:from>
    <xdr:ext cx="7569200" cy="1125693"/>
    <xdr:sp macro="" textlink="">
      <xdr:nvSpPr>
        <xdr:cNvPr id="7" name="TextBox 6"/>
        <xdr:cNvSpPr txBox="1"/>
      </xdr:nvSpPr>
      <xdr:spPr>
        <a:xfrm>
          <a:off x="850900" y="288925"/>
          <a:ext cx="7569200" cy="1125693"/>
        </a:xfrm>
        <a:prstGeom prst="rect">
          <a:avLst/>
        </a:prstGeom>
        <a:solidFill>
          <a:schemeClr val="accent3">
            <a:lumMod val="20000"/>
            <a:lumOff val="80000"/>
          </a:schemeClr>
        </a:solidFill>
        <a:ln>
          <a:solidFill>
            <a:srgbClr val="C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rgbClr val="C00000"/>
              </a:solidFill>
            </a:rPr>
            <a:t>Site-specific info (1)</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Water level was measured from an established staff plate.  Discharge was measured in a cross-section a few meters downstream of the bedload traps.  The recorded time refers to the start time of the discharge measurements.  Not many discharge measurements were performed at the lower site because the focus of the bedload trap study shifted to the upper site where the stream could be waded more safely and easily at higher flows.  For details, please see Bunte (1998).</a:t>
          </a:r>
        </a:p>
        <a:p>
          <a:endParaRPr lang="en-US" sz="1100" b="1">
            <a:solidFill>
              <a:srgbClr val="C00000"/>
            </a:solidFill>
          </a:endParaRPr>
        </a:p>
      </xdr:txBody>
    </xdr:sp>
    <xdr:clientData/>
  </xdr:oneCellAnchor>
  <xdr:oneCellAnchor>
    <xdr:from>
      <xdr:col>13</xdr:col>
      <xdr:colOff>185305</xdr:colOff>
      <xdr:row>1</xdr:row>
      <xdr:rowOff>0</xdr:rowOff>
    </xdr:from>
    <xdr:ext cx="6305549" cy="953466"/>
    <xdr:sp macro="" textlink="">
      <xdr:nvSpPr>
        <xdr:cNvPr id="9" name="TextBox 8"/>
        <xdr:cNvSpPr txBox="1"/>
      </xdr:nvSpPr>
      <xdr:spPr>
        <a:xfrm>
          <a:off x="10548505" y="215900"/>
          <a:ext cx="6305549" cy="953466"/>
        </a:xfrm>
        <a:prstGeom prst="rect">
          <a:avLst/>
        </a:prstGeom>
        <a:solidFill>
          <a:schemeClr val="accent3">
            <a:lumMod val="20000"/>
            <a:lumOff val="80000"/>
          </a:schemeClr>
        </a:solidFill>
        <a:ln>
          <a:solidFill>
            <a:srgbClr val="C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rgbClr val="C00000"/>
              </a:solidFill>
            </a:rPr>
            <a:t>Site-specific info</a:t>
          </a:r>
          <a:r>
            <a:rPr lang="en-US" sz="1100" b="1" baseline="0">
              <a:solidFill>
                <a:srgbClr val="C00000"/>
              </a:solidFill>
            </a:rPr>
            <a:t> </a:t>
          </a:r>
          <a:r>
            <a:rPr lang="en-US" sz="1100" b="1">
              <a:solidFill>
                <a:srgbClr val="C00000"/>
              </a:solidFill>
            </a:rPr>
            <a:t>(2)</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bedload trap study site was located between Site 2 and Site 3 of the bedload study by Ryan et al. (2005).  Hence, the bankfull flow estimate of 4.67 m</a:t>
          </a:r>
          <a:r>
            <a:rPr lang="en-US" sz="1100" baseline="30000">
              <a:solidFill>
                <a:schemeClr val="tx1"/>
              </a:solidFill>
              <a:effectLst/>
              <a:latin typeface="+mn-lt"/>
              <a:ea typeface="+mn-ea"/>
              <a:cs typeface="+mn-cs"/>
            </a:rPr>
            <a:t>3</a:t>
          </a:r>
          <a:r>
            <a:rPr lang="en-US" sz="1100">
              <a:solidFill>
                <a:schemeClr val="tx1"/>
              </a:solidFill>
              <a:effectLst/>
              <a:latin typeface="+mn-lt"/>
              <a:ea typeface="+mn-ea"/>
              <a:cs typeface="+mn-cs"/>
            </a:rPr>
            <a:t>/s for the bedload trap study site was interpolated between the bankfull discharges at Site 2 and Site 3 as determined by Ryan et al. (2005).</a:t>
          </a:r>
        </a:p>
        <a:p>
          <a:endParaRPr lang="en-US" sz="1100"/>
        </a:p>
      </xdr:txBody>
    </xdr:sp>
    <xdr:clientData/>
  </xdr:oneCellAnchor>
  <xdr:oneCellAnchor>
    <xdr:from>
      <xdr:col>1</xdr:col>
      <xdr:colOff>139700</xdr:colOff>
      <xdr:row>10</xdr:row>
      <xdr:rowOff>95250</xdr:rowOff>
    </xdr:from>
    <xdr:ext cx="8407400" cy="1670050"/>
    <xdr:sp macro="" textlink="">
      <xdr:nvSpPr>
        <xdr:cNvPr id="10" name="TextBox 9"/>
        <xdr:cNvSpPr txBox="1"/>
      </xdr:nvSpPr>
      <xdr:spPr>
        <a:xfrm>
          <a:off x="749300" y="1797050"/>
          <a:ext cx="8407400" cy="1670050"/>
        </a:xfrm>
        <a:prstGeom prst="rect">
          <a:avLst/>
        </a:prstGeom>
        <a:solidFill>
          <a:schemeClr val="accent5">
            <a:lumMod val="20000"/>
            <a:lumOff val="80000"/>
          </a:schemeClr>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91440" tIns="0" rIns="91440" bIns="0"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Each of the data blocks below contain the field data and computations involved in a single discharge measurement.  Measurements were recorded in either English or metric units, hence data columns may display both units.  Colored cells near the top of each block provide the date and time of measurement (start, finish, and/or computed mean time) as well as associated stage readings at the start, finish, or computed mean time. Each discharge value includes field data measurements (distance from bank, water depth, and flow velocity) and computed values (partial cross-sectional area and partial cross-sectional discharge).  The cross-sectional area associated with each vertical (partial XS area) and the resulting partial cross-cross sectional discharge (partial XS discharge) are computed in the right-hand columns.  Summing those columns gives the total cross-sectional area and total discharge, both of which are indicated in bold print in colored cells at the bottom of each discharge block.  Wetted stream width is computed as the absolute difference of the tape distance between the left bank and right bank water-surface edges, and is displayed in bold print in a colored cell near the bottom of each discharge block.  </a:t>
          </a:r>
        </a:p>
        <a:p>
          <a:endParaRPr lang="en-US" sz="1100"/>
        </a:p>
      </xdr:txBody>
    </xdr:sp>
    <xdr:clientData/>
  </xdr:oneCellAnchor>
  <xdr:oneCellAnchor>
    <xdr:from>
      <xdr:col>13</xdr:col>
      <xdr:colOff>52125</xdr:colOff>
      <xdr:row>16</xdr:row>
      <xdr:rowOff>25400</xdr:rowOff>
    </xdr:from>
    <xdr:ext cx="2322775" cy="1638300"/>
    <xdr:sp macro="" textlink="">
      <xdr:nvSpPr>
        <xdr:cNvPr id="11" name="TextBox 10"/>
        <xdr:cNvSpPr txBox="1"/>
      </xdr:nvSpPr>
      <xdr:spPr>
        <a:xfrm>
          <a:off x="9805725" y="2717800"/>
          <a:ext cx="2322775" cy="1638300"/>
        </a:xfrm>
        <a:prstGeom prst="rect">
          <a:avLst/>
        </a:prstGeom>
        <a:solidFill>
          <a:srgbClr val="CCFFCC"/>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91440" tIns="0" rIns="91440" bIns="0"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solidFill>
                <a:schemeClr val="tx1"/>
              </a:solidFill>
              <a:effectLst/>
              <a:latin typeface="+mn-lt"/>
              <a:ea typeface="+mn-ea"/>
              <a:cs typeface="+mn-cs"/>
            </a:rPr>
            <a:t>1. Date and time of discharge measurements and associated stage readings</a:t>
          </a:r>
        </a:p>
        <a:p>
          <a:pPr marL="0" marR="0" indent="0" algn="l"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Date and mean time of each discharge measurement as well as the various stage readings associated with the mean time of each discharge measurement are summarized in the table below.  </a:t>
          </a:r>
        </a:p>
        <a:p>
          <a:pPr marL="0" marR="0" indent="0" algn="l" defTabSz="914400" eaLnBrk="1" fontAlgn="auto" latinLnBrk="0" hangingPunct="1">
            <a:lnSpc>
              <a:spcPct val="100000"/>
            </a:lnSpc>
            <a:spcBef>
              <a:spcPts val="0"/>
            </a:spcBef>
            <a:spcAft>
              <a:spcPts val="0"/>
            </a:spcAft>
            <a:buClrTx/>
            <a:buSzTx/>
            <a:buFontTx/>
            <a:buNone/>
            <a:tabLst/>
            <a:defRPr/>
          </a:pPr>
          <a:endParaRPr lang="en-US" sz="1200">
            <a:effectLst/>
          </a:endParaRPr>
        </a:p>
      </xdr:txBody>
    </xdr:sp>
    <xdr:clientData/>
  </xdr:oneCellAnchor>
  <xdr:oneCellAnchor>
    <xdr:from>
      <xdr:col>16</xdr:col>
      <xdr:colOff>19538</xdr:colOff>
      <xdr:row>18</xdr:row>
      <xdr:rowOff>12701</xdr:rowOff>
    </xdr:from>
    <xdr:ext cx="5562111" cy="1305818"/>
    <xdr:sp macro="" textlink="">
      <xdr:nvSpPr>
        <xdr:cNvPr id="12" name="TextBox 11"/>
        <xdr:cNvSpPr txBox="1"/>
      </xdr:nvSpPr>
      <xdr:spPr>
        <a:xfrm>
          <a:off x="12783038" y="3035301"/>
          <a:ext cx="5562111" cy="1305818"/>
        </a:xfrm>
        <a:prstGeom prst="rect">
          <a:avLst/>
        </a:prstGeom>
        <a:solidFill>
          <a:srgbClr val="CC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91440" tIns="9144" rIns="91440" bIns="9144"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200" b="1" baseline="0"/>
            <a:t>2. Hydraulic geometry</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Discharge (</a:t>
          </a:r>
          <a:r>
            <a:rPr lang="en-US" sz="1100" i="1">
              <a:solidFill>
                <a:schemeClr val="tx1"/>
              </a:solidFill>
              <a:effectLst/>
              <a:latin typeface="+mn-lt"/>
              <a:ea typeface="+mn-ea"/>
              <a:cs typeface="+mn-cs"/>
            </a:rPr>
            <a:t>Q</a:t>
          </a:r>
          <a:r>
            <a:rPr lang="en-US" sz="1100">
              <a:solidFill>
                <a:schemeClr val="tx1"/>
              </a:solidFill>
              <a:effectLst/>
              <a:latin typeface="+mn-lt"/>
              <a:ea typeface="+mn-ea"/>
              <a:cs typeface="+mn-cs"/>
            </a:rPr>
            <a:t>), wetted cross-sectional channel area (XS area </a:t>
          </a:r>
          <a:r>
            <a:rPr lang="en-US" sz="1100" i="1">
              <a:solidFill>
                <a:schemeClr val="tx1"/>
              </a:solidFill>
              <a:effectLst/>
              <a:latin typeface="+mn-lt"/>
              <a:ea typeface="+mn-ea"/>
              <a:cs typeface="+mn-cs"/>
            </a:rPr>
            <a:t>A)</a:t>
          </a:r>
          <a:r>
            <a:rPr lang="en-US" sz="1100">
              <a:solidFill>
                <a:schemeClr val="tx1"/>
              </a:solidFill>
              <a:effectLst/>
              <a:latin typeface="+mn-lt"/>
              <a:ea typeface="+mn-ea"/>
              <a:cs typeface="+mn-cs"/>
            </a:rPr>
            <a:t>, and channel width values originate and are populated from data block A. Mean flow velocity and mean flow depth are calculated from these measurements here.  As an indication of the relative flow magnitude of a given discharge, discharge is also expressed in terms of a percentage of bankfull flow (</a:t>
          </a:r>
          <a:r>
            <a:rPr lang="en-US" sz="1100" i="1">
              <a:solidFill>
                <a:schemeClr val="tx1"/>
              </a:solidFill>
              <a:effectLst/>
              <a:latin typeface="+mn-lt"/>
              <a:ea typeface="+mn-ea"/>
              <a:cs typeface="+mn-cs"/>
            </a:rPr>
            <a:t>Q</a:t>
          </a:r>
          <a:r>
            <a:rPr lang="en-US" sz="1100" i="1" baseline="-25000">
              <a:solidFill>
                <a:schemeClr val="tx1"/>
              </a:solidFill>
              <a:effectLst/>
              <a:latin typeface="+mn-lt"/>
              <a:ea typeface="+mn-ea"/>
              <a:cs typeface="+mn-cs"/>
            </a:rPr>
            <a:t>1.5 </a:t>
          </a:r>
          <a:r>
            <a:rPr lang="en-US" sz="1100">
              <a:solidFill>
                <a:schemeClr val="tx1"/>
              </a:solidFill>
              <a:effectLst/>
              <a:latin typeface="+mn-lt"/>
              <a:ea typeface="+mn-ea"/>
              <a:cs typeface="+mn-cs"/>
              <a:sym typeface="Symbol"/>
            </a:rPr>
            <a:t></a:t>
          </a:r>
          <a:r>
            <a:rPr lang="en-US" sz="1100">
              <a:solidFill>
                <a:schemeClr val="tx1"/>
              </a:solidFill>
              <a:effectLst/>
              <a:latin typeface="+mn-lt"/>
              <a:ea typeface="+mn-ea"/>
              <a:cs typeface="+mn-cs"/>
            </a:rPr>
            <a:t> </a:t>
          </a:r>
          <a:r>
            <a:rPr lang="en-US" sz="1100" i="1">
              <a:solidFill>
                <a:schemeClr val="tx1"/>
              </a:solidFill>
              <a:effectLst/>
              <a:latin typeface="+mn-lt"/>
              <a:ea typeface="+mn-ea"/>
              <a:cs typeface="+mn-cs"/>
            </a:rPr>
            <a:t>Q</a:t>
          </a:r>
          <a:r>
            <a:rPr lang="en-US" sz="1100" i="1" baseline="-25000">
              <a:solidFill>
                <a:schemeClr val="tx1"/>
              </a:solidFill>
              <a:effectLst/>
              <a:latin typeface="+mn-lt"/>
              <a:ea typeface="+mn-ea"/>
              <a:cs typeface="+mn-cs"/>
            </a:rPr>
            <a:t>bf</a:t>
          </a:r>
          <a:r>
            <a:rPr lang="en-US" sz="1100">
              <a:solidFill>
                <a:schemeClr val="tx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endParaRPr lang="en-US" sz="1200" b="1" baseline="0"/>
        </a:p>
      </xdr:txBody>
    </xdr:sp>
    <xdr:clientData/>
  </xdr:oneCellAnchor>
</xdr:wsDr>
</file>

<file path=xl/drawings/drawing4.xml><?xml version="1.0" encoding="utf-8"?>
<c:userShapes xmlns:c="http://schemas.openxmlformats.org/drawingml/2006/chart">
  <cdr:relSizeAnchor xmlns:cdr="http://schemas.openxmlformats.org/drawingml/2006/chartDrawing">
    <cdr:from>
      <cdr:x>0.75252</cdr:x>
      <cdr:y>0.88051</cdr:y>
    </cdr:from>
    <cdr:to>
      <cdr:x>0.888</cdr:x>
      <cdr:y>0.97777</cdr:y>
    </cdr:to>
    <cdr:sp macro="" textlink="">
      <cdr:nvSpPr>
        <cdr:cNvPr id="2" name="TextBox 1"/>
        <cdr:cNvSpPr txBox="1"/>
      </cdr:nvSpPr>
      <cdr:spPr>
        <a:xfrm xmlns:a="http://schemas.openxmlformats.org/drawingml/2006/main">
          <a:off x="2434168" y="2464415"/>
          <a:ext cx="438226" cy="27220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i="1"/>
            <a:t>Q</a:t>
          </a:r>
          <a:r>
            <a:rPr lang="en-US" sz="800" i="1" baseline="-25000"/>
            <a:t>1.5</a:t>
          </a:r>
          <a:r>
            <a:rPr lang="en-US" sz="800" i="0" baseline="0"/>
            <a:t>= </a:t>
          </a:r>
        </a:p>
        <a:p xmlns:a="http://schemas.openxmlformats.org/drawingml/2006/main">
          <a:r>
            <a:rPr lang="en-US" sz="800" i="0" baseline="0"/>
            <a:t>4.67m</a:t>
          </a:r>
          <a:r>
            <a:rPr lang="en-US" sz="800" i="0" baseline="30000"/>
            <a:t>3</a:t>
          </a:r>
          <a:r>
            <a:rPr lang="en-US" sz="800" i="0" baseline="0"/>
            <a:t>/s</a:t>
          </a:r>
        </a:p>
      </cdr:txBody>
    </cdr:sp>
  </cdr:relSizeAnchor>
</c:userShapes>
</file>

<file path=xl/drawings/drawing5.xml><?xml version="1.0" encoding="utf-8"?>
<xdr:wsDr xmlns:xdr="http://schemas.openxmlformats.org/drawingml/2006/spreadsheetDrawing" xmlns:a="http://schemas.openxmlformats.org/drawingml/2006/main">
  <xdr:oneCellAnchor>
    <xdr:from>
      <xdr:col>1</xdr:col>
      <xdr:colOff>0</xdr:colOff>
      <xdr:row>2</xdr:row>
      <xdr:rowOff>0</xdr:rowOff>
    </xdr:from>
    <xdr:ext cx="4597400" cy="2331279"/>
    <xdr:sp macro="" textlink="">
      <xdr:nvSpPr>
        <xdr:cNvPr id="2" name="TextBox 1"/>
        <xdr:cNvSpPr txBox="1"/>
      </xdr:nvSpPr>
      <xdr:spPr>
        <a:xfrm>
          <a:off x="609600" y="335280"/>
          <a:ext cx="4597400" cy="2331279"/>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Report</a:t>
          </a:r>
        </a:p>
        <a:p>
          <a:pPr marL="0" marR="0" indent="0" defTabSz="914400" eaLnBrk="1" fontAlgn="auto" latinLnBrk="0" hangingPunct="1">
            <a:lnSpc>
              <a:spcPct val="100000"/>
            </a:lnSpc>
            <a:spcBef>
              <a:spcPts val="0"/>
            </a:spcBef>
            <a:spcAft>
              <a:spcPts val="0"/>
            </a:spcAft>
            <a:buClrTx/>
            <a:buSzTx/>
            <a:buFontTx/>
            <a:buNone/>
            <a:tabLst/>
            <a:defRPr/>
          </a:pPr>
          <a:r>
            <a:rPr lang="en-US" sz="1100" b="0">
              <a:solidFill>
                <a:schemeClr val="tx1"/>
              </a:solidFill>
              <a:effectLst/>
              <a:latin typeface="+mn-lt"/>
              <a:ea typeface="+mn-ea"/>
              <a:cs typeface="+mn-cs"/>
            </a:rPr>
            <a:t>Bunte, K., </a:t>
          </a:r>
          <a:r>
            <a:rPr lang="en-US" sz="1100">
              <a:solidFill>
                <a:schemeClr val="tx1"/>
              </a:solidFill>
              <a:effectLst/>
              <a:latin typeface="+mn-lt"/>
              <a:ea typeface="+mn-ea"/>
              <a:cs typeface="+mn-cs"/>
            </a:rPr>
            <a:t>1998.  Development and field testing of a stationary net-frame bedload sampler for measuring entrainment of pebbles and cobbles.  Report prepared for the Stream Systems Technology Center*, USDA Forest Service, Rocky Mountain Forest and Range Experiment Station, Fort Collins, CO, 74 pp.</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*now: National Stream and Aquatic Ecology Center</a:t>
          </a:r>
          <a:endParaRPr lang="en-US">
            <a:effectLst/>
          </a:endParaRP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Journal Article</a:t>
          </a:r>
        </a:p>
        <a:p>
          <a:r>
            <a:rPr lang="en-US" sz="1100">
              <a:solidFill>
                <a:schemeClr val="tx1"/>
              </a:solidFill>
              <a:effectLst/>
              <a:latin typeface="+mn-lt"/>
              <a:ea typeface="+mn-ea"/>
              <a:cs typeface="+mn-cs"/>
            </a:rPr>
            <a:t>Ryan S.E., Porth, L.S.  and Troendle, C.A., 2005.  Coarse sediment transport in mountain streams in Colorado and Wyoming, USA.  </a:t>
          </a:r>
          <a:r>
            <a:rPr lang="en-US" sz="1100" i="1">
              <a:solidFill>
                <a:schemeClr val="tx1"/>
              </a:solidFill>
              <a:effectLst/>
              <a:latin typeface="+mn-lt"/>
              <a:ea typeface="+mn-ea"/>
              <a:cs typeface="+mn-cs"/>
            </a:rPr>
            <a:t>Earth Surface Processes and Landforms </a:t>
          </a:r>
          <a:r>
            <a:rPr lang="en-US" sz="1100">
              <a:solidFill>
                <a:schemeClr val="tx1"/>
              </a:solidFill>
              <a:effectLst/>
              <a:latin typeface="+mn-lt"/>
              <a:ea typeface="+mn-ea"/>
              <a:cs typeface="+mn-cs"/>
            </a:rPr>
            <a:t>30: 269–288. DOI: 10.1002/esp.1128.</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C0C0C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9" workbookViewId="0">
      <selection activeCell="G96" sqref="G96"/>
    </sheetView>
  </sheetViews>
  <sheetFormatPr defaultColWidth="8.88671875" defaultRowHeight="13.2" x14ac:dyDescent="0.25"/>
  <cols>
    <col min="1" max="16384" width="8.88671875" style="2"/>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12" sqref="B12"/>
    </sheetView>
  </sheetViews>
  <sheetFormatPr defaultColWidth="8.88671875" defaultRowHeight="13.2" x14ac:dyDescent="0.25"/>
  <cols>
    <col min="1" max="16384" width="8.88671875" style="2"/>
  </cols>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I266"/>
  <sheetViews>
    <sheetView tabSelected="1" zoomScale="60" zoomScaleNormal="60" workbookViewId="0">
      <selection activeCell="X9" sqref="X9"/>
    </sheetView>
  </sheetViews>
  <sheetFormatPr defaultColWidth="8.88671875" defaultRowHeight="13.2" x14ac:dyDescent="0.25"/>
  <cols>
    <col min="1" max="1" width="8.88671875" style="2"/>
    <col min="2" max="2" width="11.77734375" style="2" customWidth="1"/>
    <col min="3" max="10" width="12.77734375" style="2" customWidth="1"/>
    <col min="11" max="13" width="11.77734375" style="2" customWidth="1"/>
    <col min="14" max="23" width="11.6640625" style="2" customWidth="1"/>
    <col min="24" max="16384" width="8.88671875" style="2"/>
  </cols>
  <sheetData>
    <row r="1" spans="2:23" ht="17.399999999999999" x14ac:dyDescent="0.3">
      <c r="B1" s="5" t="s">
        <v>37</v>
      </c>
    </row>
    <row r="2" spans="2:23" ht="13.2" customHeight="1" x14ac:dyDescent="0.3">
      <c r="C2" s="5"/>
    </row>
    <row r="3" spans="2:23" ht="13.2" customHeight="1" x14ac:dyDescent="0.3">
      <c r="C3" s="5"/>
    </row>
    <row r="4" spans="2:23" ht="13.2" customHeight="1" x14ac:dyDescent="0.3">
      <c r="C4" s="5"/>
    </row>
    <row r="5" spans="2:23" ht="13.2" customHeight="1" x14ac:dyDescent="0.3">
      <c r="C5" s="5"/>
    </row>
    <row r="6" spans="2:23" ht="13.2" customHeight="1" x14ac:dyDescent="0.3">
      <c r="C6" s="5"/>
    </row>
    <row r="7" spans="2:23" ht="13.2" customHeight="1" x14ac:dyDescent="0.3">
      <c r="C7" s="5"/>
    </row>
    <row r="8" spans="2:23" ht="13.2" customHeight="1" x14ac:dyDescent="0.3">
      <c r="C8" s="5"/>
    </row>
    <row r="9" spans="2:23" ht="13.2" customHeight="1" thickBot="1" x14ac:dyDescent="0.35">
      <c r="C9" s="5"/>
    </row>
    <row r="10" spans="2:23" ht="13.2" customHeight="1" x14ac:dyDescent="0.3">
      <c r="B10" s="69"/>
      <c r="C10" s="67" t="s">
        <v>61</v>
      </c>
      <c r="D10" s="70"/>
      <c r="E10" s="70"/>
      <c r="F10" s="70"/>
      <c r="G10" s="70"/>
      <c r="H10" s="70"/>
      <c r="I10" s="70"/>
      <c r="J10" s="70"/>
      <c r="K10" s="71"/>
    </row>
    <row r="11" spans="2:23" ht="13.2" customHeight="1" x14ac:dyDescent="0.3">
      <c r="B11" s="72"/>
      <c r="C11" s="73"/>
      <c r="D11" s="68"/>
      <c r="E11" s="68"/>
      <c r="F11" s="68"/>
      <c r="G11" s="68"/>
      <c r="H11" s="68"/>
      <c r="I11" s="68"/>
      <c r="J11" s="68"/>
      <c r="K11" s="74"/>
    </row>
    <row r="12" spans="2:23" ht="13.2" customHeight="1" x14ac:dyDescent="0.3">
      <c r="B12" s="72"/>
      <c r="C12" s="73"/>
      <c r="D12" s="68"/>
      <c r="E12" s="68"/>
      <c r="F12" s="68"/>
      <c r="G12" s="68"/>
      <c r="H12" s="68"/>
      <c r="I12" s="68"/>
      <c r="J12" s="68"/>
      <c r="K12" s="74"/>
    </row>
    <row r="13" spans="2:23" ht="13.2" customHeight="1" x14ac:dyDescent="0.3">
      <c r="B13" s="72"/>
      <c r="C13" s="73"/>
      <c r="D13" s="68"/>
      <c r="E13" s="68"/>
      <c r="F13" s="68"/>
      <c r="G13" s="68"/>
      <c r="H13" s="68"/>
      <c r="I13" s="68"/>
      <c r="J13" s="68"/>
      <c r="K13" s="74"/>
    </row>
    <row r="14" spans="2:23" ht="13.2" customHeight="1" x14ac:dyDescent="0.3">
      <c r="B14" s="72"/>
      <c r="C14" s="73"/>
      <c r="D14" s="68"/>
      <c r="E14" s="68"/>
      <c r="F14" s="68"/>
      <c r="G14" s="68"/>
      <c r="H14" s="68"/>
      <c r="I14" s="68"/>
      <c r="J14" s="68"/>
      <c r="K14" s="74"/>
    </row>
    <row r="15" spans="2:23" ht="13.2" customHeight="1" thickBot="1" x14ac:dyDescent="0.35">
      <c r="B15" s="72"/>
      <c r="C15" s="73"/>
      <c r="D15" s="68"/>
      <c r="E15" s="68"/>
      <c r="F15" s="68"/>
      <c r="G15" s="68"/>
      <c r="H15" s="68"/>
      <c r="I15" s="68"/>
      <c r="J15" s="68"/>
      <c r="K15" s="74"/>
    </row>
    <row r="16" spans="2:23" ht="13.2" customHeight="1" x14ac:dyDescent="0.3">
      <c r="B16" s="72"/>
      <c r="C16" s="73"/>
      <c r="D16" s="68"/>
      <c r="E16" s="68"/>
      <c r="F16" s="68"/>
      <c r="G16" s="68"/>
      <c r="H16" s="68"/>
      <c r="I16" s="68"/>
      <c r="J16" s="68"/>
      <c r="K16" s="74"/>
      <c r="N16" s="91" t="s">
        <v>63</v>
      </c>
      <c r="O16" s="92"/>
      <c r="P16" s="92"/>
      <c r="Q16" s="92"/>
      <c r="R16" s="92"/>
      <c r="S16" s="92"/>
      <c r="T16" s="93"/>
      <c r="U16" s="94"/>
      <c r="V16" s="95"/>
      <c r="W16" s="96"/>
    </row>
    <row r="17" spans="2:35" ht="13.2" customHeight="1" x14ac:dyDescent="0.3">
      <c r="B17" s="72"/>
      <c r="C17" s="73"/>
      <c r="D17" s="68"/>
      <c r="E17" s="68"/>
      <c r="F17" s="68"/>
      <c r="G17" s="68"/>
      <c r="H17" s="68"/>
      <c r="I17" s="68"/>
      <c r="J17" s="68"/>
      <c r="K17" s="74"/>
      <c r="N17" s="137"/>
      <c r="O17" s="138"/>
      <c r="P17" s="138"/>
      <c r="Q17" s="138"/>
      <c r="R17" s="138"/>
      <c r="S17" s="138"/>
      <c r="T17" s="138"/>
      <c r="U17" s="138"/>
      <c r="V17" s="138"/>
      <c r="W17" s="139"/>
    </row>
    <row r="18" spans="2:35" ht="13.2" customHeight="1" x14ac:dyDescent="0.3">
      <c r="B18" s="72"/>
      <c r="C18" s="73"/>
      <c r="D18" s="68"/>
      <c r="E18" s="68"/>
      <c r="F18" s="68"/>
      <c r="G18" s="68"/>
      <c r="H18" s="68"/>
      <c r="I18" s="68"/>
      <c r="J18" s="68"/>
      <c r="K18" s="74"/>
      <c r="N18" s="140"/>
      <c r="O18" s="141"/>
      <c r="P18" s="141"/>
      <c r="Q18" s="141"/>
      <c r="R18" s="141"/>
      <c r="S18" s="141"/>
      <c r="T18" s="141"/>
      <c r="U18" s="141"/>
      <c r="V18" s="141"/>
      <c r="W18" s="142"/>
      <c r="X18" s="84"/>
      <c r="Y18" s="84"/>
      <c r="Z18" s="84"/>
      <c r="AA18" s="84"/>
    </row>
    <row r="19" spans="2:35" ht="13.2" customHeight="1" x14ac:dyDescent="0.25">
      <c r="B19" s="72"/>
      <c r="C19" s="75"/>
      <c r="D19" s="68"/>
      <c r="E19" s="68"/>
      <c r="F19" s="68"/>
      <c r="G19" s="68"/>
      <c r="H19" s="68"/>
      <c r="I19" s="68"/>
      <c r="J19" s="68"/>
      <c r="K19" s="74"/>
      <c r="N19" s="143"/>
      <c r="O19" s="144"/>
      <c r="P19" s="145"/>
      <c r="Q19" s="144"/>
      <c r="R19" s="144"/>
      <c r="S19" s="144"/>
      <c r="T19" s="144"/>
      <c r="U19" s="144"/>
      <c r="V19" s="144"/>
      <c r="W19" s="146"/>
      <c r="X19" s="85"/>
      <c r="Y19" s="85"/>
      <c r="Z19" s="85"/>
      <c r="AA19" s="85"/>
    </row>
    <row r="20" spans="2:35" ht="13.2" customHeight="1" x14ac:dyDescent="0.25">
      <c r="B20" s="72"/>
      <c r="C20" s="68"/>
      <c r="D20" s="68"/>
      <c r="E20" s="68"/>
      <c r="F20" s="68"/>
      <c r="G20" s="68"/>
      <c r="H20" s="68"/>
      <c r="I20" s="68"/>
      <c r="J20" s="68"/>
      <c r="K20" s="74"/>
      <c r="N20" s="143"/>
      <c r="O20" s="144"/>
      <c r="P20" s="145"/>
      <c r="Q20" s="144"/>
      <c r="R20" s="144"/>
      <c r="S20" s="144"/>
      <c r="T20" s="144"/>
      <c r="U20" s="144"/>
      <c r="V20" s="144"/>
      <c r="W20" s="146"/>
      <c r="X20" s="85"/>
      <c r="Y20" s="85"/>
      <c r="Z20" s="85"/>
      <c r="AA20" s="85"/>
      <c r="AB20" s="3"/>
      <c r="AF20" s="3"/>
      <c r="AG20" s="3"/>
      <c r="AH20" s="4"/>
      <c r="AI20" s="3"/>
    </row>
    <row r="21" spans="2:35" x14ac:dyDescent="0.25">
      <c r="B21" s="72"/>
      <c r="C21" s="76"/>
      <c r="D21" s="76"/>
      <c r="E21" s="76"/>
      <c r="F21" s="76"/>
      <c r="G21" s="68"/>
      <c r="H21" s="68"/>
      <c r="I21" s="68"/>
      <c r="J21" s="68"/>
      <c r="K21" s="74"/>
      <c r="N21" s="143"/>
      <c r="O21" s="144"/>
      <c r="P21" s="145"/>
      <c r="Q21" s="144"/>
      <c r="R21" s="144"/>
      <c r="S21" s="144"/>
      <c r="T21" s="144"/>
      <c r="U21" s="144"/>
      <c r="V21" s="144"/>
      <c r="W21" s="146"/>
      <c r="X21" s="85"/>
      <c r="Y21" s="85"/>
      <c r="Z21" s="85"/>
      <c r="AA21" s="85"/>
      <c r="AB21" s="3"/>
      <c r="AF21" s="3"/>
      <c r="AG21" s="3"/>
      <c r="AH21" s="4"/>
      <c r="AI21" s="3"/>
    </row>
    <row r="22" spans="2:35" x14ac:dyDescent="0.25">
      <c r="B22" s="72"/>
      <c r="C22" s="33" t="s">
        <v>26</v>
      </c>
      <c r="D22" s="34" t="s">
        <v>15</v>
      </c>
      <c r="E22" s="34" t="s">
        <v>2</v>
      </c>
      <c r="F22" s="34"/>
      <c r="G22" s="34"/>
      <c r="H22" s="35" t="s">
        <v>35</v>
      </c>
      <c r="I22" s="34">
        <v>26</v>
      </c>
      <c r="J22" s="36"/>
      <c r="K22" s="74"/>
      <c r="N22" s="143"/>
      <c r="O22" s="144"/>
      <c r="P22" s="145"/>
      <c r="Q22" s="144"/>
      <c r="R22" s="144"/>
      <c r="S22" s="144"/>
      <c r="T22" s="144"/>
      <c r="U22" s="144"/>
      <c r="V22" s="144"/>
      <c r="W22" s="146"/>
      <c r="X22" s="85"/>
      <c r="Y22" s="85"/>
      <c r="Z22" s="85"/>
      <c r="AA22" s="85"/>
      <c r="AB22" s="3"/>
      <c r="AF22" s="3"/>
      <c r="AG22" s="3"/>
      <c r="AH22" s="4"/>
      <c r="AI22" s="3"/>
    </row>
    <row r="23" spans="2:35" x14ac:dyDescent="0.25">
      <c r="B23" s="72"/>
      <c r="C23" s="37" t="s">
        <v>23</v>
      </c>
      <c r="D23" s="38" t="s">
        <v>22</v>
      </c>
      <c r="E23" s="38" t="s">
        <v>29</v>
      </c>
      <c r="F23" s="38" t="s">
        <v>29</v>
      </c>
      <c r="G23" s="38" t="s">
        <v>27</v>
      </c>
      <c r="H23" s="38" t="s">
        <v>27</v>
      </c>
      <c r="I23" s="39" t="s">
        <v>31</v>
      </c>
      <c r="J23" s="40" t="s">
        <v>32</v>
      </c>
      <c r="K23" s="74"/>
      <c r="N23" s="143"/>
      <c r="O23" s="144"/>
      <c r="P23" s="145"/>
      <c r="Q23" s="144"/>
      <c r="R23" s="144"/>
      <c r="S23" s="144"/>
      <c r="T23" s="144"/>
      <c r="U23" s="144"/>
      <c r="V23" s="144"/>
      <c r="W23" s="146"/>
      <c r="X23" s="85"/>
      <c r="Y23" s="85"/>
      <c r="Z23" s="85"/>
      <c r="AA23" s="85"/>
      <c r="AB23" s="3"/>
      <c r="AF23" s="3"/>
      <c r="AG23" s="3"/>
      <c r="AH23" s="4"/>
      <c r="AI23" s="3"/>
    </row>
    <row r="24" spans="2:35" x14ac:dyDescent="0.25">
      <c r="B24" s="72"/>
      <c r="C24" s="41" t="s">
        <v>28</v>
      </c>
      <c r="D24" s="42" t="s">
        <v>24</v>
      </c>
      <c r="E24" s="42" t="s">
        <v>20</v>
      </c>
      <c r="F24" s="42" t="s">
        <v>21</v>
      </c>
      <c r="G24" s="42" t="s">
        <v>1</v>
      </c>
      <c r="H24" s="42" t="s">
        <v>3</v>
      </c>
      <c r="I24" s="42" t="s">
        <v>0</v>
      </c>
      <c r="J24" s="43" t="s">
        <v>7</v>
      </c>
      <c r="K24" s="74"/>
      <c r="N24" s="147"/>
      <c r="O24" s="148"/>
      <c r="P24" s="149"/>
      <c r="Q24" s="148"/>
      <c r="R24" s="148"/>
      <c r="S24" s="148"/>
      <c r="T24" s="148"/>
      <c r="U24" s="148"/>
      <c r="V24" s="148"/>
      <c r="W24" s="150"/>
      <c r="X24" s="26"/>
      <c r="Y24" s="26"/>
      <c r="Z24" s="26"/>
      <c r="AA24" s="26"/>
      <c r="AB24" s="3"/>
      <c r="AF24" s="3"/>
      <c r="AG24" s="3"/>
      <c r="AH24" s="4"/>
      <c r="AI24" s="3"/>
    </row>
    <row r="25" spans="2:35" x14ac:dyDescent="0.25">
      <c r="B25" s="72"/>
      <c r="C25" s="10">
        <v>1.1000000000000001</v>
      </c>
      <c r="D25" s="6">
        <f>C25-C$25</f>
        <v>0</v>
      </c>
      <c r="E25" s="6">
        <v>0</v>
      </c>
      <c r="F25" s="11">
        <f t="shared" ref="F25:F43" si="0">E25*0.3048</f>
        <v>0</v>
      </c>
      <c r="G25" s="12">
        <f>H25/0.3048</f>
        <v>0</v>
      </c>
      <c r="H25" s="6">
        <v>0</v>
      </c>
      <c r="I25" s="13">
        <v>0</v>
      </c>
      <c r="J25" s="14"/>
      <c r="K25" s="74"/>
      <c r="N25" s="143"/>
      <c r="O25" s="144"/>
      <c r="P25" s="144"/>
      <c r="Q25" s="144"/>
      <c r="R25" s="144"/>
      <c r="S25" s="144"/>
      <c r="T25" s="144"/>
      <c r="U25" s="144"/>
      <c r="V25" s="144"/>
      <c r="W25" s="146"/>
      <c r="X25" s="85"/>
      <c r="Y25" s="85"/>
      <c r="Z25" s="85"/>
      <c r="AA25" s="85"/>
      <c r="AB25" s="3"/>
      <c r="AF25" s="3"/>
      <c r="AG25" s="3"/>
      <c r="AH25" s="4"/>
      <c r="AI25" s="3"/>
    </row>
    <row r="26" spans="2:35" ht="18.600000000000001" thickBot="1" x14ac:dyDescent="0.35">
      <c r="B26" s="72"/>
      <c r="C26" s="10">
        <v>1.5</v>
      </c>
      <c r="D26" s="6">
        <f>C26-C$25</f>
        <v>0.39999999999999991</v>
      </c>
      <c r="E26" s="6">
        <v>0.5</v>
      </c>
      <c r="F26" s="11">
        <f t="shared" si="0"/>
        <v>0.15240000000000001</v>
      </c>
      <c r="G26" s="11">
        <f t="shared" ref="G26:G43" si="1">H26/0.3048</f>
        <v>1.3123359580052494</v>
      </c>
      <c r="H26" s="6">
        <v>0.4</v>
      </c>
      <c r="I26" s="13">
        <f>F26*H26*(((D26-D25))+((D27-D26)/2))</f>
        <v>3.9623999999999999E-2</v>
      </c>
      <c r="J26" s="15">
        <f t="shared" ref="J26:J43" si="2">(D26-D25)*((F25+F26)/2)</f>
        <v>3.0479999999999993E-2</v>
      </c>
      <c r="K26" s="74"/>
      <c r="N26" s="97"/>
      <c r="O26" s="98"/>
      <c r="P26" s="98"/>
      <c r="Q26" s="98"/>
      <c r="R26" s="98"/>
      <c r="S26" s="98"/>
      <c r="T26" s="99"/>
      <c r="U26" s="100"/>
      <c r="V26" s="98"/>
      <c r="W26" s="101"/>
      <c r="AA26" s="3"/>
      <c r="AB26" s="3"/>
      <c r="AF26" s="3"/>
      <c r="AG26" s="3"/>
      <c r="AH26" s="4"/>
      <c r="AI26" s="3"/>
    </row>
    <row r="27" spans="2:35" ht="16.2" thickBot="1" x14ac:dyDescent="0.35">
      <c r="B27" s="72"/>
      <c r="C27" s="10">
        <v>2</v>
      </c>
      <c r="D27" s="6">
        <f>C27-C$25</f>
        <v>0.89999999999999991</v>
      </c>
      <c r="E27" s="6">
        <v>0.5</v>
      </c>
      <c r="F27" s="11">
        <f t="shared" si="0"/>
        <v>0.15240000000000001</v>
      </c>
      <c r="G27" s="11">
        <f t="shared" si="1"/>
        <v>1.9356955380577425</v>
      </c>
      <c r="H27" s="6">
        <v>0.59</v>
      </c>
      <c r="I27" s="13">
        <f t="shared" ref="I27:I41" si="3">F27*H27*(((D27-D26)/2)+((D28-D27)/2))</f>
        <v>4.4957999999999998E-2</v>
      </c>
      <c r="J27" s="15">
        <f t="shared" si="2"/>
        <v>7.6200000000000004E-2</v>
      </c>
      <c r="K27" s="74"/>
      <c r="N27" s="102"/>
      <c r="O27" s="52"/>
      <c r="P27" s="103"/>
      <c r="Q27" s="120" t="s">
        <v>38</v>
      </c>
      <c r="R27" s="53" t="s">
        <v>38</v>
      </c>
      <c r="S27" s="53" t="s">
        <v>39</v>
      </c>
      <c r="T27" s="54" t="s">
        <v>40</v>
      </c>
      <c r="U27" s="55" t="s">
        <v>41</v>
      </c>
      <c r="V27" s="53"/>
      <c r="W27" s="121" t="s">
        <v>41</v>
      </c>
      <c r="Y27" s="86" t="s">
        <v>62</v>
      </c>
      <c r="Z27" s="87"/>
      <c r="AA27" s="88"/>
      <c r="AB27" s="88"/>
      <c r="AC27" s="87"/>
      <c r="AD27" s="87"/>
      <c r="AF27" s="3"/>
      <c r="AG27" s="3"/>
      <c r="AH27" s="4"/>
      <c r="AI27" s="3"/>
    </row>
    <row r="28" spans="2:35" ht="13.8" thickBot="1" x14ac:dyDescent="0.3">
      <c r="B28" s="72"/>
      <c r="C28" s="10">
        <v>2.5</v>
      </c>
      <c r="D28" s="6">
        <f>C28-C$25</f>
        <v>1.4</v>
      </c>
      <c r="E28" s="6">
        <v>0.7</v>
      </c>
      <c r="F28" s="11">
        <f t="shared" si="0"/>
        <v>0.21335999999999999</v>
      </c>
      <c r="G28" s="11">
        <f t="shared" si="1"/>
        <v>2.2637795275590546</v>
      </c>
      <c r="H28" s="6">
        <v>0.69</v>
      </c>
      <c r="I28" s="13">
        <f t="shared" si="3"/>
        <v>7.3609199999999986E-2</v>
      </c>
      <c r="J28" s="15">
        <f t="shared" si="2"/>
        <v>9.1439999999999994E-2</v>
      </c>
      <c r="K28" s="74"/>
      <c r="M28" s="66"/>
      <c r="N28" s="104"/>
      <c r="O28" s="56" t="s">
        <v>42</v>
      </c>
      <c r="P28" s="105"/>
      <c r="Q28" s="122" t="s">
        <v>43</v>
      </c>
      <c r="R28" s="58" t="s">
        <v>43</v>
      </c>
      <c r="S28" s="59">
        <v>4.67</v>
      </c>
      <c r="T28" s="60" t="s">
        <v>44</v>
      </c>
      <c r="U28" s="60" t="s">
        <v>45</v>
      </c>
      <c r="V28" s="58" t="s">
        <v>46</v>
      </c>
      <c r="W28" s="123" t="s">
        <v>47</v>
      </c>
      <c r="Y28" s="87"/>
      <c r="Z28" s="87"/>
      <c r="AA28" s="88"/>
      <c r="AB28" s="88"/>
      <c r="AC28" s="87"/>
      <c r="AD28" s="87"/>
      <c r="AF28" s="3"/>
      <c r="AG28" s="3"/>
      <c r="AH28" s="4"/>
      <c r="AI28" s="3"/>
    </row>
    <row r="29" spans="2:35" x14ac:dyDescent="0.25">
      <c r="B29" s="72"/>
      <c r="C29" s="10">
        <v>3</v>
      </c>
      <c r="D29" s="6">
        <f>C29-C$25</f>
        <v>1.9</v>
      </c>
      <c r="E29" s="6">
        <v>0.85</v>
      </c>
      <c r="F29" s="11">
        <f t="shared" si="0"/>
        <v>0.25908000000000003</v>
      </c>
      <c r="G29" s="11">
        <f t="shared" si="1"/>
        <v>2.5590551181102361</v>
      </c>
      <c r="H29" s="6">
        <v>0.78</v>
      </c>
      <c r="I29" s="13">
        <f t="shared" si="3"/>
        <v>0.10104120000000001</v>
      </c>
      <c r="J29" s="15">
        <f t="shared" si="2"/>
        <v>0.11811000000000001</v>
      </c>
      <c r="K29" s="74"/>
      <c r="N29" s="106" t="s">
        <v>48</v>
      </c>
      <c r="O29" s="57" t="s">
        <v>49</v>
      </c>
      <c r="P29" s="107" t="s">
        <v>50</v>
      </c>
      <c r="Q29" s="122"/>
      <c r="R29" s="61"/>
      <c r="S29" s="58" t="s">
        <v>51</v>
      </c>
      <c r="T29" s="58" t="s">
        <v>19</v>
      </c>
      <c r="U29" s="62" t="s">
        <v>52</v>
      </c>
      <c r="V29" s="58" t="s">
        <v>53</v>
      </c>
      <c r="W29" s="123" t="s">
        <v>54</v>
      </c>
      <c r="Y29" s="87"/>
      <c r="Z29" s="87"/>
      <c r="AA29" s="87"/>
      <c r="AB29" s="87"/>
      <c r="AC29" s="87"/>
      <c r="AD29" s="87"/>
    </row>
    <row r="30" spans="2:35" ht="13.8" thickBot="1" x14ac:dyDescent="0.3">
      <c r="B30" s="72"/>
      <c r="C30" s="10">
        <v>3.5</v>
      </c>
      <c r="D30" s="6">
        <f>C30-C$25</f>
        <v>2.4</v>
      </c>
      <c r="E30" s="6">
        <v>1.1000000000000001</v>
      </c>
      <c r="F30" s="11">
        <f t="shared" si="0"/>
        <v>0.33528000000000002</v>
      </c>
      <c r="G30" s="11">
        <f t="shared" si="1"/>
        <v>2.4606299212598426</v>
      </c>
      <c r="H30" s="6">
        <v>0.75</v>
      </c>
      <c r="I30" s="13">
        <f t="shared" si="3"/>
        <v>0.12573000000000001</v>
      </c>
      <c r="J30" s="15">
        <f t="shared" si="2"/>
        <v>0.14859</v>
      </c>
      <c r="K30" s="74"/>
      <c r="M30" s="1"/>
      <c r="N30" s="108"/>
      <c r="O30" s="63"/>
      <c r="P30" s="109" t="s">
        <v>55</v>
      </c>
      <c r="Q30" s="124" t="s">
        <v>0</v>
      </c>
      <c r="R30" s="65" t="s">
        <v>56</v>
      </c>
      <c r="S30" s="154" t="s">
        <v>64</v>
      </c>
      <c r="T30" s="64" t="s">
        <v>57</v>
      </c>
      <c r="U30" s="64" t="s">
        <v>58</v>
      </c>
      <c r="V30" s="64" t="s">
        <v>59</v>
      </c>
      <c r="W30" s="125" t="s">
        <v>60</v>
      </c>
      <c r="Y30" s="87"/>
      <c r="Z30" s="87"/>
      <c r="AA30" s="87"/>
      <c r="AB30" s="87"/>
      <c r="AC30" s="87"/>
      <c r="AD30" s="87"/>
    </row>
    <row r="31" spans="2:35" x14ac:dyDescent="0.25">
      <c r="B31" s="72"/>
      <c r="C31" s="10">
        <v>4</v>
      </c>
      <c r="D31" s="6">
        <f>C31-C$25</f>
        <v>2.9</v>
      </c>
      <c r="E31" s="6">
        <v>1.1000000000000001</v>
      </c>
      <c r="F31" s="11">
        <f t="shared" si="0"/>
        <v>0.33528000000000002</v>
      </c>
      <c r="G31" s="11">
        <f t="shared" si="1"/>
        <v>2.8215223097112858</v>
      </c>
      <c r="H31" s="6">
        <v>0.86</v>
      </c>
      <c r="I31" s="13">
        <f t="shared" si="3"/>
        <v>0.1441704</v>
      </c>
      <c r="J31" s="15">
        <f t="shared" si="2"/>
        <v>0.16764000000000001</v>
      </c>
      <c r="K31" s="74"/>
      <c r="N31" s="110" t="s">
        <v>15</v>
      </c>
      <c r="O31" s="111">
        <v>0.58263888888888882</v>
      </c>
      <c r="P31" s="112">
        <v>27</v>
      </c>
      <c r="Q31" s="126"/>
      <c r="R31" s="127"/>
      <c r="S31" s="128"/>
      <c r="T31" s="128"/>
      <c r="U31" s="128"/>
      <c r="V31" s="128"/>
      <c r="W31" s="129"/>
      <c r="Y31" s="87"/>
      <c r="Z31" s="87"/>
      <c r="AA31" s="87"/>
      <c r="AB31" s="87"/>
      <c r="AC31" s="87"/>
      <c r="AD31" s="87"/>
    </row>
    <row r="32" spans="2:35" x14ac:dyDescent="0.25">
      <c r="B32" s="72"/>
      <c r="C32" s="10">
        <v>4.5</v>
      </c>
      <c r="D32" s="6">
        <f>C32-C$25</f>
        <v>3.4</v>
      </c>
      <c r="E32" s="6">
        <v>1</v>
      </c>
      <c r="F32" s="11">
        <f t="shared" si="0"/>
        <v>0.30480000000000002</v>
      </c>
      <c r="G32" s="11">
        <f t="shared" si="1"/>
        <v>2.7559055118110232</v>
      </c>
      <c r="H32" s="6">
        <v>0.84</v>
      </c>
      <c r="I32" s="13">
        <f t="shared" si="3"/>
        <v>0.12801599999999999</v>
      </c>
      <c r="J32" s="15">
        <f t="shared" si="2"/>
        <v>0.16002</v>
      </c>
      <c r="K32" s="74"/>
      <c r="N32" s="110" t="str">
        <f>D22</f>
        <v>6-6-98</v>
      </c>
      <c r="O32" s="113" t="str">
        <f>E22</f>
        <v xml:space="preserve">14:25 </v>
      </c>
      <c r="P32" s="112">
        <f>I22</f>
        <v>26</v>
      </c>
      <c r="Q32" s="130">
        <f>I44</f>
        <v>1.8434608800000001</v>
      </c>
      <c r="R32" s="127">
        <f>Q32/(0.3048^3)</f>
        <v>65.101206591302059</v>
      </c>
      <c r="S32" s="127">
        <f>Q32*100/S$28</f>
        <v>39.474537044967882</v>
      </c>
      <c r="T32" s="131">
        <f>J44</f>
        <v>2.281428</v>
      </c>
      <c r="U32" s="131">
        <f t="shared" ref="U32:U40" si="4">Q32/T32</f>
        <v>0.80802939211756852</v>
      </c>
      <c r="V32" s="131">
        <f>D43</f>
        <v>8.4500000000000011</v>
      </c>
      <c r="W32" s="132">
        <f t="shared" ref="W32:W40" si="5">T32/V32</f>
        <v>0.26999147928994077</v>
      </c>
      <c r="Y32" s="87"/>
      <c r="Z32" s="87"/>
      <c r="AA32" s="87"/>
      <c r="AB32" s="87"/>
      <c r="AC32" s="87"/>
      <c r="AD32" s="87"/>
    </row>
    <row r="33" spans="2:30" x14ac:dyDescent="0.25">
      <c r="B33" s="72"/>
      <c r="C33" s="10">
        <v>5</v>
      </c>
      <c r="D33" s="6">
        <f>C33-C$25</f>
        <v>3.9</v>
      </c>
      <c r="E33" s="6">
        <v>1.1000000000000001</v>
      </c>
      <c r="F33" s="11">
        <f t="shared" si="0"/>
        <v>0.33528000000000002</v>
      </c>
      <c r="G33" s="11">
        <f t="shared" si="1"/>
        <v>4.0026246719160099</v>
      </c>
      <c r="H33" s="6">
        <v>1.22</v>
      </c>
      <c r="I33" s="13">
        <f t="shared" si="3"/>
        <v>0.20452080000000009</v>
      </c>
      <c r="J33" s="15">
        <f t="shared" si="2"/>
        <v>0.16002</v>
      </c>
      <c r="K33" s="74"/>
      <c r="N33" s="110" t="str">
        <f>D48</f>
        <v>6-6-98</v>
      </c>
      <c r="O33" s="113" t="str">
        <f>E48</f>
        <v>16:30</v>
      </c>
      <c r="P33" s="112">
        <f>I48</f>
        <v>26</v>
      </c>
      <c r="Q33" s="130">
        <f>I70</f>
        <v>1.8124322400000001</v>
      </c>
      <c r="R33" s="127">
        <f t="shared" ref="R33:R40" si="6">Q33/(0.3048^3)</f>
        <v>64.005440510881016</v>
      </c>
      <c r="S33" s="127">
        <f t="shared" ref="S33:S40" si="7">Q33*100/S$28</f>
        <v>38.810112205567457</v>
      </c>
      <c r="T33" s="131">
        <f>J70</f>
        <v>2.1595080000000002</v>
      </c>
      <c r="U33" s="131">
        <f t="shared" si="4"/>
        <v>0.83928016937191252</v>
      </c>
      <c r="V33" s="131">
        <f>D69</f>
        <v>8.4500000000000011</v>
      </c>
      <c r="W33" s="132">
        <f t="shared" si="5"/>
        <v>0.25556307692307689</v>
      </c>
      <c r="Y33" s="87"/>
      <c r="Z33" s="87"/>
      <c r="AA33" s="87"/>
      <c r="AB33" s="87"/>
      <c r="AC33" s="87"/>
      <c r="AD33" s="87"/>
    </row>
    <row r="34" spans="2:30" x14ac:dyDescent="0.25">
      <c r="B34" s="72"/>
      <c r="C34" s="10">
        <v>5.5</v>
      </c>
      <c r="D34" s="6">
        <f>C34-C$25</f>
        <v>4.4000000000000004</v>
      </c>
      <c r="E34" s="6">
        <v>1.2</v>
      </c>
      <c r="F34" s="11">
        <f t="shared" si="0"/>
        <v>0.36576000000000003</v>
      </c>
      <c r="G34" s="11">
        <f t="shared" si="1"/>
        <v>3.7729658792650915</v>
      </c>
      <c r="H34" s="6">
        <v>1.1499999999999999</v>
      </c>
      <c r="I34" s="13">
        <f t="shared" si="3"/>
        <v>0.21031200000000008</v>
      </c>
      <c r="J34" s="15">
        <f t="shared" si="2"/>
        <v>0.17526000000000019</v>
      </c>
      <c r="K34" s="74"/>
      <c r="N34" s="110" t="str">
        <f>D74</f>
        <v>6-8-98</v>
      </c>
      <c r="O34" s="113" t="str">
        <f>E74</f>
        <v>11:55</v>
      </c>
      <c r="P34" s="112">
        <f>I74</f>
        <v>24</v>
      </c>
      <c r="Q34" s="130">
        <f>I96</f>
        <v>1.59056832</v>
      </c>
      <c r="R34" s="127">
        <f t="shared" si="6"/>
        <v>56.170390118558011</v>
      </c>
      <c r="S34" s="127">
        <f t="shared" si="7"/>
        <v>34.059278800856532</v>
      </c>
      <c r="T34" s="131">
        <f>J96</f>
        <v>2.1636990000000003</v>
      </c>
      <c r="U34" s="131">
        <f t="shared" si="4"/>
        <v>0.73511533720725475</v>
      </c>
      <c r="V34" s="131">
        <f>D95</f>
        <v>8.4500000000000011</v>
      </c>
      <c r="W34" s="132">
        <f t="shared" si="5"/>
        <v>0.2560590532544379</v>
      </c>
      <c r="Y34" s="87"/>
      <c r="Z34" s="87"/>
      <c r="AA34" s="87"/>
      <c r="AB34" s="87"/>
      <c r="AC34" s="87"/>
      <c r="AD34" s="87"/>
    </row>
    <row r="35" spans="2:30" x14ac:dyDescent="0.25">
      <c r="B35" s="72"/>
      <c r="C35" s="10">
        <v>6</v>
      </c>
      <c r="D35" s="6">
        <f>C35-C$25</f>
        <v>4.9000000000000004</v>
      </c>
      <c r="E35" s="6">
        <v>1</v>
      </c>
      <c r="F35" s="11">
        <f t="shared" si="0"/>
        <v>0.30480000000000002</v>
      </c>
      <c r="G35" s="11">
        <f t="shared" si="1"/>
        <v>3.8385826771653537</v>
      </c>
      <c r="H35" s="6">
        <v>1.17</v>
      </c>
      <c r="I35" s="13">
        <f t="shared" si="3"/>
        <v>0.17830799999999999</v>
      </c>
      <c r="J35" s="15">
        <f t="shared" si="2"/>
        <v>0.16764000000000001</v>
      </c>
      <c r="K35" s="74"/>
      <c r="N35" s="114" t="str">
        <f>D100</f>
        <v>6-9-98</v>
      </c>
      <c r="O35" s="115" t="str">
        <f>E100</f>
        <v>13:55</v>
      </c>
      <c r="P35" s="116">
        <f>I100</f>
        <v>24</v>
      </c>
      <c r="Q35" s="130">
        <f>I122</f>
        <v>1.5794736000000003</v>
      </c>
      <c r="R35" s="127">
        <f t="shared" si="6"/>
        <v>55.778583779389784</v>
      </c>
      <c r="S35" s="127">
        <f t="shared" si="7"/>
        <v>33.821704496788016</v>
      </c>
      <c r="T35" s="131">
        <f>J122</f>
        <v>2.1061680000000003</v>
      </c>
      <c r="U35" s="131">
        <f t="shared" si="4"/>
        <v>0.74992764109985532</v>
      </c>
      <c r="V35" s="131">
        <f>D121</f>
        <v>8.4500000000000011</v>
      </c>
      <c r="W35" s="132">
        <f t="shared" si="5"/>
        <v>0.24925065088757398</v>
      </c>
      <c r="Y35" s="87"/>
      <c r="Z35" s="87"/>
      <c r="AA35" s="87"/>
      <c r="AB35" s="87"/>
      <c r="AC35" s="87"/>
      <c r="AD35" s="87"/>
    </row>
    <row r="36" spans="2:30" x14ac:dyDescent="0.25">
      <c r="B36" s="72"/>
      <c r="C36" s="10">
        <v>6.5</v>
      </c>
      <c r="D36" s="6">
        <f>C36-C$25</f>
        <v>5.4</v>
      </c>
      <c r="E36" s="6">
        <v>1</v>
      </c>
      <c r="F36" s="11">
        <f t="shared" si="0"/>
        <v>0.30480000000000002</v>
      </c>
      <c r="G36" s="11">
        <f t="shared" si="1"/>
        <v>3.2152230971128608</v>
      </c>
      <c r="H36" s="6">
        <v>0.98</v>
      </c>
      <c r="I36" s="13">
        <f t="shared" si="3"/>
        <v>0.14935200000000001</v>
      </c>
      <c r="J36" s="15">
        <f t="shared" si="2"/>
        <v>0.15240000000000001</v>
      </c>
      <c r="K36" s="74"/>
      <c r="N36" s="114" t="str">
        <f>D126</f>
        <v>6-19-98</v>
      </c>
      <c r="O36" s="115" t="str">
        <f>E126</f>
        <v>14:35</v>
      </c>
      <c r="P36" s="116">
        <f>I126</f>
        <v>18</v>
      </c>
      <c r="Q36" s="130">
        <f>I148</f>
        <v>1.0931668459199999</v>
      </c>
      <c r="R36" s="127">
        <f t="shared" si="6"/>
        <v>38.60482283464566</v>
      </c>
      <c r="S36" s="127">
        <f t="shared" si="7"/>
        <v>23.408283638543896</v>
      </c>
      <c r="T36" s="131">
        <f>J148</f>
        <v>1.6809719999999997</v>
      </c>
      <c r="U36" s="131">
        <f t="shared" si="4"/>
        <v>0.65031829555757037</v>
      </c>
      <c r="V36" s="131">
        <f>D147</f>
        <v>8.4</v>
      </c>
      <c r="W36" s="132">
        <f t="shared" si="5"/>
        <v>0.20011571428571423</v>
      </c>
      <c r="Y36" s="87"/>
      <c r="Z36" s="87"/>
      <c r="AA36" s="87"/>
      <c r="AB36" s="87"/>
      <c r="AC36" s="87"/>
      <c r="AD36" s="87"/>
    </row>
    <row r="37" spans="2:30" x14ac:dyDescent="0.25">
      <c r="B37" s="72"/>
      <c r="C37" s="10">
        <v>7</v>
      </c>
      <c r="D37" s="6">
        <f>C37-C$25</f>
        <v>5.9</v>
      </c>
      <c r="E37" s="6">
        <v>1</v>
      </c>
      <c r="F37" s="11">
        <f t="shared" si="0"/>
        <v>0.30480000000000002</v>
      </c>
      <c r="G37" s="11">
        <f t="shared" si="1"/>
        <v>3.5433070866141732</v>
      </c>
      <c r="H37" s="6">
        <v>1.08</v>
      </c>
      <c r="I37" s="13">
        <f t="shared" si="3"/>
        <v>0.16459200000000002</v>
      </c>
      <c r="J37" s="15">
        <f t="shared" si="2"/>
        <v>0.15240000000000001</v>
      </c>
      <c r="K37" s="74"/>
      <c r="N37" s="114" t="str">
        <f>D152</f>
        <v>6-20-98</v>
      </c>
      <c r="O37" s="115" t="str">
        <f>E152</f>
        <v>8:10</v>
      </c>
      <c r="P37" s="116">
        <f>I152</f>
        <v>14</v>
      </c>
      <c r="Q37" s="130">
        <f>I173</f>
        <v>0.70673665104000005</v>
      </c>
      <c r="R37" s="127">
        <f t="shared" si="6"/>
        <v>24.958169291338582</v>
      </c>
      <c r="S37" s="127">
        <f t="shared" si="7"/>
        <v>15.133547131477519</v>
      </c>
      <c r="T37" s="131">
        <f>J173</f>
        <v>1.3049250000000001</v>
      </c>
      <c r="U37" s="131">
        <f t="shared" si="4"/>
        <v>0.54159177810218972</v>
      </c>
      <c r="V37" s="131">
        <f>D172</f>
        <v>8.35</v>
      </c>
      <c r="W37" s="132">
        <f t="shared" si="5"/>
        <v>0.15627844311377248</v>
      </c>
      <c r="Y37" s="87"/>
      <c r="Z37" s="87"/>
      <c r="AA37" s="87"/>
      <c r="AB37" s="87"/>
      <c r="AC37" s="87"/>
      <c r="AD37" s="87"/>
    </row>
    <row r="38" spans="2:30" x14ac:dyDescent="0.25">
      <c r="B38" s="72"/>
      <c r="C38" s="10">
        <v>7.5</v>
      </c>
      <c r="D38" s="6">
        <f>C38-C$25</f>
        <v>6.4</v>
      </c>
      <c r="E38" s="6">
        <v>0.9</v>
      </c>
      <c r="F38" s="11">
        <f t="shared" si="0"/>
        <v>0.27432000000000001</v>
      </c>
      <c r="G38" s="11">
        <f t="shared" si="1"/>
        <v>2.0669291338582676</v>
      </c>
      <c r="H38" s="6">
        <v>0.63</v>
      </c>
      <c r="I38" s="13">
        <f t="shared" si="3"/>
        <v>8.641080000000001E-2</v>
      </c>
      <c r="J38" s="15">
        <f t="shared" si="2"/>
        <v>0.14478000000000002</v>
      </c>
      <c r="K38" s="74"/>
      <c r="N38" s="114" t="str">
        <f>D177</f>
        <v>6-25-98</v>
      </c>
      <c r="O38" s="115" t="str">
        <f>E177</f>
        <v>14:00</v>
      </c>
      <c r="P38" s="116">
        <f>I177</f>
        <v>21</v>
      </c>
      <c r="Q38" s="130">
        <f>I200</f>
        <v>1.561490030045952</v>
      </c>
      <c r="R38" s="127">
        <f t="shared" si="6"/>
        <v>55.143499999999989</v>
      </c>
      <c r="S38" s="127">
        <f t="shared" si="7"/>
        <v>33.43661734573773</v>
      </c>
      <c r="T38" s="131">
        <f>J200</f>
        <v>1.9479444911999999</v>
      </c>
      <c r="U38" s="131">
        <f t="shared" si="4"/>
        <v>0.80160909979730544</v>
      </c>
      <c r="V38" s="131">
        <f>D199</f>
        <v>8.4734400000000001</v>
      </c>
      <c r="W38" s="132">
        <f t="shared" si="5"/>
        <v>0.22988827338129494</v>
      </c>
      <c r="Y38" s="87"/>
      <c r="Z38" s="87"/>
      <c r="AA38" s="87"/>
      <c r="AB38" s="87"/>
      <c r="AC38" s="87"/>
      <c r="AD38" s="87"/>
    </row>
    <row r="39" spans="2:30" x14ac:dyDescent="0.25">
      <c r="B39" s="72"/>
      <c r="C39" s="10">
        <v>8</v>
      </c>
      <c r="D39" s="6">
        <f>C39-C$25</f>
        <v>6.9</v>
      </c>
      <c r="E39" s="6">
        <v>1</v>
      </c>
      <c r="F39" s="11">
        <f t="shared" si="0"/>
        <v>0.30480000000000002</v>
      </c>
      <c r="G39" s="11">
        <f t="shared" si="1"/>
        <v>1.8372703412073492</v>
      </c>
      <c r="H39" s="6">
        <v>0.56000000000000005</v>
      </c>
      <c r="I39" s="13">
        <f t="shared" si="3"/>
        <v>8.5344000000000017E-2</v>
      </c>
      <c r="J39" s="15">
        <f t="shared" si="2"/>
        <v>0.14478000000000002</v>
      </c>
      <c r="K39" s="74"/>
      <c r="N39" s="114" t="str">
        <f>D204</f>
        <v>6-25-98</v>
      </c>
      <c r="O39" s="115" t="str">
        <f>E204</f>
        <v>18:35</v>
      </c>
      <c r="P39" s="116">
        <f>I204</f>
        <v>27</v>
      </c>
      <c r="Q39" s="130">
        <f>I227</f>
        <v>2.2810281811603206</v>
      </c>
      <c r="R39" s="127">
        <f t="shared" si="6"/>
        <v>80.553750000000008</v>
      </c>
      <c r="S39" s="127">
        <f t="shared" si="7"/>
        <v>48.844286534482244</v>
      </c>
      <c r="T39" s="131">
        <f>J227</f>
        <v>2.3190921360000005</v>
      </c>
      <c r="U39" s="131">
        <f t="shared" si="4"/>
        <v>0.98358670005007509</v>
      </c>
      <c r="V39" s="131">
        <f>D226</f>
        <v>8.5343999999999998</v>
      </c>
      <c r="W39" s="132">
        <f t="shared" si="5"/>
        <v>0.27173464285714294</v>
      </c>
      <c r="Y39" s="87"/>
      <c r="Z39" s="87"/>
      <c r="AA39" s="87"/>
      <c r="AB39" s="87"/>
      <c r="AC39" s="87"/>
      <c r="AD39" s="87"/>
    </row>
    <row r="40" spans="2:30" ht="13.8" thickBot="1" x14ac:dyDescent="0.3">
      <c r="B40" s="72"/>
      <c r="C40" s="10">
        <v>8.5</v>
      </c>
      <c r="D40" s="6">
        <f>C40-C$25</f>
        <v>7.4</v>
      </c>
      <c r="E40" s="6">
        <v>1.1000000000000001</v>
      </c>
      <c r="F40" s="11">
        <f t="shared" si="0"/>
        <v>0.33528000000000002</v>
      </c>
      <c r="G40" s="11">
        <f t="shared" si="1"/>
        <v>1.1154855643044619</v>
      </c>
      <c r="H40" s="6">
        <v>0.34</v>
      </c>
      <c r="I40" s="13">
        <f t="shared" si="3"/>
        <v>5.6997600000000009E-2</v>
      </c>
      <c r="J40" s="15">
        <f t="shared" si="2"/>
        <v>0.16002</v>
      </c>
      <c r="K40" s="74"/>
      <c r="N40" s="117" t="str">
        <f>D231</f>
        <v>6-26-98</v>
      </c>
      <c r="O40" s="118" t="str">
        <f>E231</f>
        <v>11:55</v>
      </c>
      <c r="P40" s="119">
        <f>I231</f>
        <v>24.5</v>
      </c>
      <c r="Q40" s="133">
        <f>I254</f>
        <v>1.83871903739328</v>
      </c>
      <c r="R40" s="134">
        <f t="shared" si="6"/>
        <v>64.933749999999989</v>
      </c>
      <c r="S40" s="134">
        <f t="shared" si="7"/>
        <v>39.372998659385011</v>
      </c>
      <c r="T40" s="135">
        <f>J254</f>
        <v>2.0183185439999995</v>
      </c>
      <c r="U40" s="135">
        <f t="shared" si="4"/>
        <v>0.91101528193325687</v>
      </c>
      <c r="V40" s="135">
        <f>D253</f>
        <v>8.5343999999999998</v>
      </c>
      <c r="W40" s="136">
        <f t="shared" si="5"/>
        <v>0.23649214285714282</v>
      </c>
      <c r="Y40" s="87"/>
      <c r="Z40" s="87"/>
      <c r="AA40" s="87"/>
      <c r="AB40" s="87"/>
      <c r="AC40" s="87"/>
      <c r="AD40" s="87"/>
    </row>
    <row r="41" spans="2:30" x14ac:dyDescent="0.25">
      <c r="B41" s="72"/>
      <c r="C41" s="10">
        <v>9</v>
      </c>
      <c r="D41" s="6">
        <f>C41-C$25</f>
        <v>7.9</v>
      </c>
      <c r="E41" s="6">
        <v>0.75</v>
      </c>
      <c r="F41" s="11">
        <f t="shared" si="0"/>
        <v>0.22860000000000003</v>
      </c>
      <c r="G41" s="11">
        <f t="shared" si="1"/>
        <v>1.3123359580052494</v>
      </c>
      <c r="H41" s="6">
        <v>0.4</v>
      </c>
      <c r="I41" s="13">
        <f t="shared" si="3"/>
        <v>4.5720000000000011E-2</v>
      </c>
      <c r="J41" s="15">
        <f t="shared" si="2"/>
        <v>0.14097000000000001</v>
      </c>
      <c r="K41" s="74"/>
      <c r="Y41" s="87"/>
      <c r="Z41" s="87"/>
      <c r="AA41" s="87"/>
      <c r="AB41" s="87"/>
      <c r="AC41" s="87"/>
      <c r="AD41" s="87"/>
    </row>
    <row r="42" spans="2:30" ht="15.6" x14ac:dyDescent="0.3">
      <c r="B42" s="72"/>
      <c r="C42" s="10">
        <v>9.5</v>
      </c>
      <c r="D42" s="6">
        <f>C42-C$25</f>
        <v>8.4</v>
      </c>
      <c r="E42" s="6">
        <v>0.4</v>
      </c>
      <c r="F42" s="11">
        <f t="shared" si="0"/>
        <v>0.12192000000000001</v>
      </c>
      <c r="G42" s="11">
        <f t="shared" si="1"/>
        <v>0.42650918635170604</v>
      </c>
      <c r="H42" s="6">
        <v>0.13</v>
      </c>
      <c r="I42" s="13">
        <f>F42*H42*(((D42-D41)/2)+((D43-D42)))</f>
        <v>4.7548800000000117E-3</v>
      </c>
      <c r="J42" s="15">
        <f t="shared" si="2"/>
        <v>8.7630000000000013E-2</v>
      </c>
      <c r="K42" s="74"/>
      <c r="R42" s="89" t="s">
        <v>65</v>
      </c>
      <c r="S42" s="90"/>
      <c r="T42" s="90"/>
      <c r="U42" s="90"/>
      <c r="V42" s="90"/>
      <c r="W42" s="90"/>
      <c r="Y42" s="87"/>
      <c r="Z42" s="87"/>
      <c r="AA42" s="87"/>
      <c r="AB42" s="87"/>
      <c r="AC42" s="87"/>
      <c r="AD42" s="87"/>
    </row>
    <row r="43" spans="2:30" x14ac:dyDescent="0.25">
      <c r="B43" s="72"/>
      <c r="C43" s="10">
        <v>9.5500000000000007</v>
      </c>
      <c r="D43" s="6">
        <f>C43-C$25</f>
        <v>8.4500000000000011</v>
      </c>
      <c r="E43" s="6">
        <v>0</v>
      </c>
      <c r="F43" s="11">
        <f t="shared" si="0"/>
        <v>0</v>
      </c>
      <c r="G43" s="11">
        <f t="shared" si="1"/>
        <v>0</v>
      </c>
      <c r="H43" s="6">
        <v>0</v>
      </c>
      <c r="I43" s="13">
        <v>0</v>
      </c>
      <c r="J43" s="15">
        <f t="shared" si="2"/>
        <v>3.0480000000000437E-3</v>
      </c>
      <c r="K43" s="74"/>
      <c r="R43" s="90"/>
      <c r="S43" s="90"/>
      <c r="T43" s="90"/>
      <c r="U43" s="90"/>
      <c r="V43" s="90"/>
      <c r="W43" s="90"/>
      <c r="Y43" s="87"/>
      <c r="Z43" s="87"/>
      <c r="AA43" s="87"/>
      <c r="AB43" s="87"/>
      <c r="AC43" s="87"/>
      <c r="AD43" s="87"/>
    </row>
    <row r="44" spans="2:30" x14ac:dyDescent="0.25">
      <c r="B44" s="72"/>
      <c r="C44" s="10"/>
      <c r="D44" s="16">
        <f>D43</f>
        <v>8.4500000000000011</v>
      </c>
      <c r="E44" s="6"/>
      <c r="F44" s="6"/>
      <c r="G44" s="6"/>
      <c r="H44" s="6"/>
      <c r="I44" s="17">
        <f>SUM(I25:I43)</f>
        <v>1.8434608800000001</v>
      </c>
      <c r="J44" s="18">
        <f>SUM(J25:J43)</f>
        <v>2.281428</v>
      </c>
      <c r="K44" s="74"/>
      <c r="R44" s="90"/>
      <c r="S44" s="90"/>
      <c r="T44" s="90"/>
      <c r="U44" s="90"/>
      <c r="V44" s="90"/>
      <c r="W44" s="90"/>
      <c r="Y44" s="87"/>
      <c r="Z44" s="87"/>
      <c r="AA44" s="87"/>
      <c r="AB44" s="87"/>
      <c r="AC44" s="87"/>
      <c r="AD44" s="87"/>
    </row>
    <row r="45" spans="2:30" ht="15.6" x14ac:dyDescent="0.25">
      <c r="B45" s="72"/>
      <c r="C45" s="19"/>
      <c r="D45" s="20" t="s">
        <v>30</v>
      </c>
      <c r="E45" s="21"/>
      <c r="F45" s="21"/>
      <c r="G45" s="21"/>
      <c r="H45" s="21"/>
      <c r="I45" s="22" t="s">
        <v>34</v>
      </c>
      <c r="J45" s="23" t="s">
        <v>33</v>
      </c>
      <c r="K45" s="74"/>
      <c r="R45" s="90"/>
      <c r="S45" s="90"/>
      <c r="T45" s="90"/>
      <c r="U45" s="90"/>
      <c r="V45" s="90"/>
      <c r="W45" s="90"/>
      <c r="Y45" s="87"/>
      <c r="Z45" s="87"/>
      <c r="AA45" s="87"/>
      <c r="AB45" s="87"/>
      <c r="AC45" s="87"/>
      <c r="AD45" s="87"/>
    </row>
    <row r="46" spans="2:30" x14ac:dyDescent="0.25">
      <c r="B46" s="72"/>
      <c r="C46" s="68"/>
      <c r="D46" s="68"/>
      <c r="E46" s="68"/>
      <c r="F46" s="68"/>
      <c r="G46" s="68"/>
      <c r="H46" s="68"/>
      <c r="I46" s="68"/>
      <c r="J46" s="68"/>
      <c r="K46" s="74"/>
      <c r="R46" s="90"/>
      <c r="S46" s="90"/>
      <c r="T46" s="90"/>
      <c r="U46" s="90"/>
      <c r="V46" s="90"/>
      <c r="W46" s="90"/>
    </row>
    <row r="47" spans="2:30" x14ac:dyDescent="0.25">
      <c r="B47" s="72"/>
      <c r="C47" s="68"/>
      <c r="D47" s="68"/>
      <c r="E47" s="68"/>
      <c r="F47" s="68"/>
      <c r="G47" s="68"/>
      <c r="H47" s="68"/>
      <c r="I47" s="151"/>
      <c r="J47" s="68"/>
      <c r="K47" s="74"/>
      <c r="R47" s="90"/>
      <c r="S47" s="90"/>
      <c r="T47" s="90"/>
      <c r="U47" s="90"/>
      <c r="V47" s="90"/>
      <c r="W47" s="90"/>
    </row>
    <row r="48" spans="2:30" x14ac:dyDescent="0.25">
      <c r="B48" s="72"/>
      <c r="C48" s="33" t="s">
        <v>26</v>
      </c>
      <c r="D48" s="34" t="s">
        <v>15</v>
      </c>
      <c r="E48" s="34" t="s">
        <v>9</v>
      </c>
      <c r="F48" s="34"/>
      <c r="G48" s="34"/>
      <c r="H48" s="35" t="s">
        <v>35</v>
      </c>
      <c r="I48" s="34">
        <v>26</v>
      </c>
      <c r="J48" s="36"/>
      <c r="K48" s="74"/>
      <c r="R48" s="90"/>
      <c r="S48" s="90"/>
      <c r="T48" s="90"/>
      <c r="U48" s="90"/>
      <c r="V48" s="90"/>
      <c r="W48" s="90"/>
    </row>
    <row r="49" spans="2:23" x14ac:dyDescent="0.25">
      <c r="B49" s="72"/>
      <c r="C49" s="37" t="s">
        <v>23</v>
      </c>
      <c r="D49" s="38" t="s">
        <v>25</v>
      </c>
      <c r="E49" s="38" t="s">
        <v>29</v>
      </c>
      <c r="F49" s="38" t="s">
        <v>29</v>
      </c>
      <c r="G49" s="38" t="s">
        <v>27</v>
      </c>
      <c r="H49" s="38" t="s">
        <v>27</v>
      </c>
      <c r="I49" s="39" t="s">
        <v>31</v>
      </c>
      <c r="J49" s="40" t="s">
        <v>19</v>
      </c>
      <c r="K49" s="74"/>
      <c r="R49" s="90"/>
      <c r="S49" s="90"/>
      <c r="T49" s="90"/>
      <c r="U49" s="90"/>
      <c r="V49" s="90"/>
      <c r="W49" s="90"/>
    </row>
    <row r="50" spans="2:23" x14ac:dyDescent="0.25">
      <c r="B50" s="72"/>
      <c r="C50" s="41" t="s">
        <v>28</v>
      </c>
      <c r="D50" s="42" t="s">
        <v>24</v>
      </c>
      <c r="E50" s="42" t="s">
        <v>20</v>
      </c>
      <c r="F50" s="42" t="s">
        <v>21</v>
      </c>
      <c r="G50" s="42" t="s">
        <v>1</v>
      </c>
      <c r="H50" s="42" t="s">
        <v>3</v>
      </c>
      <c r="I50" s="42" t="s">
        <v>0</v>
      </c>
      <c r="J50" s="43" t="s">
        <v>7</v>
      </c>
      <c r="K50" s="74"/>
      <c r="R50" s="90"/>
      <c r="S50" s="90"/>
      <c r="T50" s="90"/>
      <c r="U50" s="90"/>
      <c r="V50" s="90"/>
      <c r="W50" s="90"/>
    </row>
    <row r="51" spans="2:23" x14ac:dyDescent="0.25">
      <c r="B51" s="72"/>
      <c r="C51" s="10">
        <v>1.1000000000000001</v>
      </c>
      <c r="D51" s="6">
        <f t="shared" ref="D51:D69" si="8">C51-C$51</f>
        <v>0</v>
      </c>
      <c r="E51" s="6">
        <v>0</v>
      </c>
      <c r="F51" s="11">
        <f t="shared" ref="F51:F69" si="9">E51*0.3048</f>
        <v>0</v>
      </c>
      <c r="G51" s="12">
        <f>H51/0.3048</f>
        <v>0</v>
      </c>
      <c r="H51" s="6">
        <v>0</v>
      </c>
      <c r="I51" s="13">
        <v>0</v>
      </c>
      <c r="J51" s="14"/>
      <c r="K51" s="74"/>
      <c r="R51" s="90"/>
      <c r="S51" s="90"/>
      <c r="T51" s="90"/>
      <c r="U51" s="90"/>
      <c r="V51" s="90"/>
      <c r="W51" s="90"/>
    </row>
    <row r="52" spans="2:23" x14ac:dyDescent="0.25">
      <c r="B52" s="72"/>
      <c r="C52" s="10">
        <v>1.5</v>
      </c>
      <c r="D52" s="6">
        <f t="shared" si="8"/>
        <v>0.39999999999999991</v>
      </c>
      <c r="E52" s="6">
        <v>0.5</v>
      </c>
      <c r="F52" s="11">
        <f t="shared" si="9"/>
        <v>0.15240000000000001</v>
      </c>
      <c r="G52" s="11">
        <f t="shared" ref="G52:G69" si="10">H52/0.3048</f>
        <v>1.8044619422572179</v>
      </c>
      <c r="H52" s="6">
        <v>0.55000000000000004</v>
      </c>
      <c r="I52" s="13">
        <f>F52*H52*(((D52-D51))+((D53-D52)/2))</f>
        <v>5.4482999999999997E-2</v>
      </c>
      <c r="J52" s="15">
        <f t="shared" ref="J52:J69" si="11">(D52-D51)*((F51+F52)/2)</f>
        <v>3.0479999999999993E-2</v>
      </c>
      <c r="K52" s="74"/>
      <c r="R52" s="90"/>
      <c r="S52" s="90"/>
      <c r="T52" s="90"/>
      <c r="U52" s="90"/>
      <c r="V52" s="90"/>
      <c r="W52" s="90"/>
    </row>
    <row r="53" spans="2:23" x14ac:dyDescent="0.25">
      <c r="B53" s="72"/>
      <c r="C53" s="10">
        <v>2</v>
      </c>
      <c r="D53" s="6">
        <f t="shared" si="8"/>
        <v>0.89999999999999991</v>
      </c>
      <c r="E53" s="6">
        <v>0.5</v>
      </c>
      <c r="F53" s="11">
        <f t="shared" si="9"/>
        <v>0.15240000000000001</v>
      </c>
      <c r="G53" s="11">
        <f t="shared" si="10"/>
        <v>1.9356955380577425</v>
      </c>
      <c r="H53" s="6">
        <v>0.59</v>
      </c>
      <c r="I53" s="13">
        <f t="shared" ref="I53:I67" si="12">F53*H53*(((D53-D52)/2)+((D54-D53)/2))</f>
        <v>4.4957999999999998E-2</v>
      </c>
      <c r="J53" s="15">
        <f t="shared" si="11"/>
        <v>7.6200000000000004E-2</v>
      </c>
      <c r="K53" s="74"/>
      <c r="R53" s="90"/>
      <c r="S53" s="90"/>
      <c r="T53" s="90"/>
      <c r="U53" s="90"/>
      <c r="V53" s="90"/>
      <c r="W53" s="90"/>
    </row>
    <row r="54" spans="2:23" x14ac:dyDescent="0.25">
      <c r="B54" s="72"/>
      <c r="C54" s="10">
        <v>2.5</v>
      </c>
      <c r="D54" s="6">
        <f t="shared" si="8"/>
        <v>1.4</v>
      </c>
      <c r="E54" s="6">
        <v>0.6</v>
      </c>
      <c r="F54" s="11">
        <f t="shared" si="9"/>
        <v>0.18288000000000001</v>
      </c>
      <c r="G54" s="11">
        <f t="shared" si="10"/>
        <v>2.3622047244094486</v>
      </c>
      <c r="H54" s="6">
        <v>0.72</v>
      </c>
      <c r="I54" s="13">
        <f t="shared" si="12"/>
        <v>6.5836800000000001E-2</v>
      </c>
      <c r="J54" s="15">
        <f t="shared" si="11"/>
        <v>8.3820000000000006E-2</v>
      </c>
      <c r="K54" s="74"/>
      <c r="R54" s="90"/>
      <c r="S54" s="90"/>
      <c r="T54" s="90"/>
      <c r="U54" s="90"/>
      <c r="V54" s="90"/>
      <c r="W54" s="90"/>
    </row>
    <row r="55" spans="2:23" x14ac:dyDescent="0.25">
      <c r="B55" s="72"/>
      <c r="C55" s="10">
        <v>3</v>
      </c>
      <c r="D55" s="6">
        <f t="shared" si="8"/>
        <v>1.9</v>
      </c>
      <c r="E55" s="6">
        <v>0.7</v>
      </c>
      <c r="F55" s="11">
        <f t="shared" si="9"/>
        <v>0.21335999999999999</v>
      </c>
      <c r="G55" s="11">
        <f t="shared" si="10"/>
        <v>2.4934383202099735</v>
      </c>
      <c r="H55" s="6">
        <v>0.76</v>
      </c>
      <c r="I55" s="13">
        <f t="shared" si="12"/>
        <v>8.1076800000000004E-2</v>
      </c>
      <c r="J55" s="15">
        <f t="shared" si="11"/>
        <v>9.9060000000000009E-2</v>
      </c>
      <c r="K55" s="74"/>
      <c r="R55" s="90"/>
      <c r="S55" s="90"/>
      <c r="T55" s="90"/>
      <c r="U55" s="90"/>
      <c r="V55" s="90"/>
      <c r="W55" s="90"/>
    </row>
    <row r="56" spans="2:23" x14ac:dyDescent="0.25">
      <c r="B56" s="72"/>
      <c r="C56" s="10">
        <v>3.5</v>
      </c>
      <c r="D56" s="6">
        <f t="shared" si="8"/>
        <v>2.4</v>
      </c>
      <c r="E56" s="6">
        <v>1</v>
      </c>
      <c r="F56" s="11">
        <f t="shared" si="9"/>
        <v>0.30480000000000002</v>
      </c>
      <c r="G56" s="11">
        <f t="shared" si="10"/>
        <v>2.5590551181102361</v>
      </c>
      <c r="H56" s="6">
        <v>0.78</v>
      </c>
      <c r="I56" s="13">
        <f t="shared" si="12"/>
        <v>0.11887200000000001</v>
      </c>
      <c r="J56" s="15">
        <f t="shared" si="11"/>
        <v>0.12953999999999999</v>
      </c>
      <c r="K56" s="74"/>
      <c r="R56" s="90"/>
      <c r="S56" s="90"/>
      <c r="T56" s="90"/>
      <c r="U56" s="90"/>
      <c r="V56" s="90"/>
      <c r="W56" s="90"/>
    </row>
    <row r="57" spans="2:23" x14ac:dyDescent="0.25">
      <c r="B57" s="72"/>
      <c r="C57" s="10">
        <v>4</v>
      </c>
      <c r="D57" s="6">
        <f t="shared" si="8"/>
        <v>2.9</v>
      </c>
      <c r="E57" s="6">
        <v>1.05</v>
      </c>
      <c r="F57" s="11">
        <f t="shared" si="9"/>
        <v>0.32004000000000005</v>
      </c>
      <c r="G57" s="11">
        <f t="shared" si="10"/>
        <v>3.1496062992125982</v>
      </c>
      <c r="H57" s="24">
        <v>0.96</v>
      </c>
      <c r="I57" s="25">
        <f t="shared" si="12"/>
        <v>0.15361920000000001</v>
      </c>
      <c r="J57" s="15">
        <f t="shared" si="11"/>
        <v>0.15621000000000002</v>
      </c>
      <c r="K57" s="74"/>
      <c r="R57" s="90"/>
      <c r="S57" s="90"/>
      <c r="T57" s="90"/>
      <c r="U57" s="90"/>
      <c r="V57" s="90"/>
      <c r="W57" s="90"/>
    </row>
    <row r="58" spans="2:23" x14ac:dyDescent="0.25">
      <c r="B58" s="72"/>
      <c r="C58" s="10">
        <v>4.5</v>
      </c>
      <c r="D58" s="6">
        <f t="shared" si="8"/>
        <v>3.4</v>
      </c>
      <c r="E58" s="6">
        <v>1.05</v>
      </c>
      <c r="F58" s="11">
        <f t="shared" si="9"/>
        <v>0.32004000000000005</v>
      </c>
      <c r="G58" s="11">
        <f t="shared" si="10"/>
        <v>3.1496062992125982</v>
      </c>
      <c r="H58" s="24">
        <v>0.96</v>
      </c>
      <c r="I58" s="25">
        <f t="shared" si="12"/>
        <v>0.15361920000000001</v>
      </c>
      <c r="J58" s="15">
        <f t="shared" si="11"/>
        <v>0.16002000000000002</v>
      </c>
      <c r="K58" s="74"/>
      <c r="R58" s="90"/>
      <c r="S58" s="90"/>
      <c r="T58" s="90"/>
      <c r="U58" s="90"/>
      <c r="V58" s="90"/>
      <c r="W58" s="90"/>
    </row>
    <row r="59" spans="2:23" x14ac:dyDescent="0.25">
      <c r="B59" s="72"/>
      <c r="C59" s="10">
        <v>5</v>
      </c>
      <c r="D59" s="6">
        <f t="shared" si="8"/>
        <v>3.9</v>
      </c>
      <c r="E59" s="6">
        <v>1.05</v>
      </c>
      <c r="F59" s="11">
        <f t="shared" si="9"/>
        <v>0.32004000000000005</v>
      </c>
      <c r="G59" s="11">
        <f t="shared" si="10"/>
        <v>4.1666666666666661</v>
      </c>
      <c r="H59" s="24">
        <v>1.27</v>
      </c>
      <c r="I59" s="25">
        <f t="shared" si="12"/>
        <v>0.20322540000000011</v>
      </c>
      <c r="J59" s="15">
        <f t="shared" si="11"/>
        <v>0.16002000000000002</v>
      </c>
      <c r="K59" s="74"/>
      <c r="R59" s="90"/>
      <c r="S59" s="90"/>
      <c r="T59" s="90"/>
      <c r="U59" s="90"/>
      <c r="V59" s="90"/>
      <c r="W59" s="90"/>
    </row>
    <row r="60" spans="2:23" x14ac:dyDescent="0.25">
      <c r="B60" s="72"/>
      <c r="C60" s="10">
        <v>5.5</v>
      </c>
      <c r="D60" s="6">
        <f t="shared" si="8"/>
        <v>4.4000000000000004</v>
      </c>
      <c r="E60" s="6">
        <v>1</v>
      </c>
      <c r="F60" s="11">
        <f t="shared" si="9"/>
        <v>0.30480000000000002</v>
      </c>
      <c r="G60" s="11">
        <f t="shared" si="10"/>
        <v>4.3307086614173231</v>
      </c>
      <c r="H60" s="24">
        <v>1.32</v>
      </c>
      <c r="I60" s="25">
        <f t="shared" si="12"/>
        <v>0.2011680000000001</v>
      </c>
      <c r="J60" s="15">
        <f t="shared" si="11"/>
        <v>0.15621000000000015</v>
      </c>
      <c r="K60" s="74"/>
      <c r="R60" s="90"/>
      <c r="S60" s="90"/>
      <c r="T60" s="90"/>
      <c r="U60" s="90"/>
      <c r="V60" s="90"/>
      <c r="W60" s="90"/>
    </row>
    <row r="61" spans="2:23" x14ac:dyDescent="0.25">
      <c r="B61" s="72"/>
      <c r="C61" s="10">
        <v>6</v>
      </c>
      <c r="D61" s="6">
        <f t="shared" si="8"/>
        <v>4.9000000000000004</v>
      </c>
      <c r="E61" s="6">
        <v>1.05</v>
      </c>
      <c r="F61" s="11">
        <f t="shared" si="9"/>
        <v>0.32004000000000005</v>
      </c>
      <c r="G61" s="11">
        <f t="shared" si="10"/>
        <v>3.8057742782152229</v>
      </c>
      <c r="H61" s="24">
        <v>1.1599999999999999</v>
      </c>
      <c r="I61" s="25">
        <f t="shared" si="12"/>
        <v>0.18562320000000002</v>
      </c>
      <c r="J61" s="15">
        <f t="shared" si="11"/>
        <v>0.15621000000000002</v>
      </c>
      <c r="K61" s="74"/>
    </row>
    <row r="62" spans="2:23" x14ac:dyDescent="0.25">
      <c r="B62" s="72"/>
      <c r="C62" s="10">
        <v>6.5</v>
      </c>
      <c r="D62" s="6">
        <f t="shared" si="8"/>
        <v>5.4</v>
      </c>
      <c r="E62" s="6">
        <v>1</v>
      </c>
      <c r="F62" s="11">
        <f t="shared" si="9"/>
        <v>0.30480000000000002</v>
      </c>
      <c r="G62" s="11">
        <f t="shared" si="10"/>
        <v>3.2152230971128608</v>
      </c>
      <c r="H62" s="24">
        <v>0.98</v>
      </c>
      <c r="I62" s="25">
        <f t="shared" si="12"/>
        <v>0.14935200000000001</v>
      </c>
      <c r="J62" s="15">
        <f t="shared" si="11"/>
        <v>0.15621000000000002</v>
      </c>
      <c r="K62" s="74"/>
    </row>
    <row r="63" spans="2:23" x14ac:dyDescent="0.25">
      <c r="B63" s="72"/>
      <c r="C63" s="10">
        <v>7</v>
      </c>
      <c r="D63" s="6">
        <f t="shared" si="8"/>
        <v>5.9</v>
      </c>
      <c r="E63" s="6">
        <v>0.65</v>
      </c>
      <c r="F63" s="11">
        <f t="shared" si="9"/>
        <v>0.19812000000000002</v>
      </c>
      <c r="G63" s="11">
        <f t="shared" si="10"/>
        <v>3.4448818897637796</v>
      </c>
      <c r="H63" s="24">
        <v>1.05</v>
      </c>
      <c r="I63" s="25">
        <f t="shared" si="12"/>
        <v>0.10401300000000001</v>
      </c>
      <c r="J63" s="15">
        <f t="shared" si="11"/>
        <v>0.12573000000000001</v>
      </c>
      <c r="K63" s="74"/>
    </row>
    <row r="64" spans="2:23" x14ac:dyDescent="0.25">
      <c r="B64" s="72"/>
      <c r="C64" s="10">
        <v>7.5</v>
      </c>
      <c r="D64" s="6">
        <f t="shared" si="8"/>
        <v>6.4</v>
      </c>
      <c r="E64" s="6">
        <v>0.95</v>
      </c>
      <c r="F64" s="11">
        <f t="shared" si="9"/>
        <v>0.28955999999999998</v>
      </c>
      <c r="G64" s="11">
        <f t="shared" si="10"/>
        <v>2.5918635170603674</v>
      </c>
      <c r="H64" s="24">
        <v>0.79</v>
      </c>
      <c r="I64" s="25">
        <f t="shared" si="12"/>
        <v>0.1143762</v>
      </c>
      <c r="J64" s="15">
        <f t="shared" si="11"/>
        <v>0.12192</v>
      </c>
      <c r="K64" s="74"/>
    </row>
    <row r="65" spans="2:11" x14ac:dyDescent="0.25">
      <c r="B65" s="72"/>
      <c r="C65" s="10">
        <v>8</v>
      </c>
      <c r="D65" s="6">
        <f t="shared" si="8"/>
        <v>6.9</v>
      </c>
      <c r="E65" s="6">
        <v>1.05</v>
      </c>
      <c r="F65" s="11">
        <f t="shared" si="9"/>
        <v>0.32004000000000005</v>
      </c>
      <c r="G65" s="11">
        <f t="shared" si="10"/>
        <v>1.9028871391076114</v>
      </c>
      <c r="H65" s="24">
        <v>0.57999999999999996</v>
      </c>
      <c r="I65" s="25">
        <f t="shared" si="12"/>
        <v>9.2811600000000008E-2</v>
      </c>
      <c r="J65" s="15">
        <f t="shared" si="11"/>
        <v>0.15240000000000001</v>
      </c>
      <c r="K65" s="74"/>
    </row>
    <row r="66" spans="2:11" x14ac:dyDescent="0.25">
      <c r="B66" s="72"/>
      <c r="C66" s="10">
        <v>8.5</v>
      </c>
      <c r="D66" s="6">
        <f t="shared" si="8"/>
        <v>7.4</v>
      </c>
      <c r="E66" s="6">
        <v>1.1499999999999999</v>
      </c>
      <c r="F66" s="11">
        <f t="shared" si="9"/>
        <v>0.35052</v>
      </c>
      <c r="G66" s="11">
        <f t="shared" si="10"/>
        <v>0.85301837270341208</v>
      </c>
      <c r="H66" s="24">
        <v>0.26</v>
      </c>
      <c r="I66" s="25">
        <f t="shared" si="12"/>
        <v>4.55676E-2</v>
      </c>
      <c r="J66" s="15">
        <f t="shared" si="11"/>
        <v>0.16764000000000001</v>
      </c>
      <c r="K66" s="74"/>
    </row>
    <row r="67" spans="2:11" x14ac:dyDescent="0.25">
      <c r="B67" s="72"/>
      <c r="C67" s="10">
        <v>9</v>
      </c>
      <c r="D67" s="6">
        <f t="shared" si="8"/>
        <v>7.9</v>
      </c>
      <c r="E67" s="6">
        <v>0.7</v>
      </c>
      <c r="F67" s="11">
        <f t="shared" si="9"/>
        <v>0.21335999999999999</v>
      </c>
      <c r="G67" s="11">
        <f t="shared" si="10"/>
        <v>1.2467191601049867</v>
      </c>
      <c r="H67" s="6">
        <v>0.38</v>
      </c>
      <c r="I67" s="13">
        <f t="shared" si="12"/>
        <v>4.0538400000000002E-2</v>
      </c>
      <c r="J67" s="15">
        <f t="shared" si="11"/>
        <v>0.14096999999999998</v>
      </c>
      <c r="K67" s="74"/>
    </row>
    <row r="68" spans="2:11" x14ac:dyDescent="0.25">
      <c r="B68" s="72"/>
      <c r="C68" s="10">
        <v>9.5</v>
      </c>
      <c r="D68" s="6">
        <f t="shared" si="8"/>
        <v>8.4</v>
      </c>
      <c r="E68" s="6">
        <v>0.4</v>
      </c>
      <c r="F68" s="11">
        <f t="shared" si="9"/>
        <v>0.12192000000000001</v>
      </c>
      <c r="G68" s="11">
        <f t="shared" si="10"/>
        <v>0.29527559055118108</v>
      </c>
      <c r="H68" s="6">
        <v>0.09</v>
      </c>
      <c r="I68" s="13">
        <f>F68*H68*(((D68-D67)/2)+((D69-D68)))</f>
        <v>3.2918400000000081E-3</v>
      </c>
      <c r="J68" s="15">
        <f t="shared" si="11"/>
        <v>8.3820000000000006E-2</v>
      </c>
      <c r="K68" s="74"/>
    </row>
    <row r="69" spans="2:11" x14ac:dyDescent="0.25">
      <c r="B69" s="72"/>
      <c r="C69" s="10">
        <v>9.5500000000000007</v>
      </c>
      <c r="D69" s="6">
        <f t="shared" si="8"/>
        <v>8.4500000000000011</v>
      </c>
      <c r="E69" s="6">
        <v>0</v>
      </c>
      <c r="F69" s="11">
        <f t="shared" si="9"/>
        <v>0</v>
      </c>
      <c r="G69" s="11">
        <f t="shared" si="10"/>
        <v>0</v>
      </c>
      <c r="H69" s="6">
        <v>0</v>
      </c>
      <c r="I69" s="13">
        <v>0</v>
      </c>
      <c r="J69" s="15">
        <f t="shared" si="11"/>
        <v>3.0480000000000437E-3</v>
      </c>
      <c r="K69" s="74"/>
    </row>
    <row r="70" spans="2:11" x14ac:dyDescent="0.25">
      <c r="B70" s="72"/>
      <c r="C70" s="10"/>
      <c r="D70" s="16">
        <f>D69</f>
        <v>8.4500000000000011</v>
      </c>
      <c r="E70" s="6"/>
      <c r="F70" s="6"/>
      <c r="G70" s="6"/>
      <c r="H70" s="6"/>
      <c r="I70" s="17">
        <f>SUM(I51:I69)</f>
        <v>1.8124322400000001</v>
      </c>
      <c r="J70" s="18">
        <f>SUM(J51:J69)</f>
        <v>2.1595080000000002</v>
      </c>
      <c r="K70" s="74"/>
    </row>
    <row r="71" spans="2:11" ht="15.6" x14ac:dyDescent="0.25">
      <c r="B71" s="72"/>
      <c r="C71" s="19"/>
      <c r="D71" s="20" t="s">
        <v>30</v>
      </c>
      <c r="E71" s="21"/>
      <c r="F71" s="21"/>
      <c r="G71" s="21"/>
      <c r="H71" s="21"/>
      <c r="I71" s="22" t="s">
        <v>34</v>
      </c>
      <c r="J71" s="23" t="s">
        <v>33</v>
      </c>
      <c r="K71" s="74"/>
    </row>
    <row r="72" spans="2:11" x14ac:dyDescent="0.25">
      <c r="B72" s="72"/>
      <c r="C72" s="68"/>
      <c r="D72" s="68"/>
      <c r="E72" s="68"/>
      <c r="F72" s="68"/>
      <c r="G72" s="68"/>
      <c r="H72" s="68"/>
      <c r="I72" s="68"/>
      <c r="J72" s="68"/>
      <c r="K72" s="74"/>
    </row>
    <row r="73" spans="2:11" x14ac:dyDescent="0.25">
      <c r="B73" s="72"/>
      <c r="C73" s="68"/>
      <c r="D73" s="68"/>
      <c r="E73" s="68"/>
      <c r="F73" s="68"/>
      <c r="G73" s="68"/>
      <c r="H73" s="68"/>
      <c r="I73" s="68"/>
      <c r="J73" s="68"/>
      <c r="K73" s="74"/>
    </row>
    <row r="74" spans="2:11" x14ac:dyDescent="0.25">
      <c r="B74" s="72"/>
      <c r="C74" s="33" t="s">
        <v>26</v>
      </c>
      <c r="D74" s="34" t="s">
        <v>16</v>
      </c>
      <c r="E74" s="34" t="s">
        <v>4</v>
      </c>
      <c r="F74" s="34"/>
      <c r="G74" s="34"/>
      <c r="H74" s="35" t="s">
        <v>35</v>
      </c>
      <c r="I74" s="34">
        <v>24</v>
      </c>
      <c r="J74" s="36"/>
      <c r="K74" s="74"/>
    </row>
    <row r="75" spans="2:11" x14ac:dyDescent="0.25">
      <c r="B75" s="72"/>
      <c r="C75" s="37" t="s">
        <v>23</v>
      </c>
      <c r="D75" s="38" t="s">
        <v>25</v>
      </c>
      <c r="E75" s="38" t="s">
        <v>29</v>
      </c>
      <c r="F75" s="38" t="s">
        <v>29</v>
      </c>
      <c r="G75" s="38" t="s">
        <v>27</v>
      </c>
      <c r="H75" s="38" t="s">
        <v>27</v>
      </c>
      <c r="I75" s="39" t="s">
        <v>31</v>
      </c>
      <c r="J75" s="40" t="s">
        <v>19</v>
      </c>
      <c r="K75" s="74"/>
    </row>
    <row r="76" spans="2:11" x14ac:dyDescent="0.25">
      <c r="B76" s="72"/>
      <c r="C76" s="41" t="s">
        <v>28</v>
      </c>
      <c r="D76" s="42" t="s">
        <v>24</v>
      </c>
      <c r="E76" s="42" t="s">
        <v>20</v>
      </c>
      <c r="F76" s="42" t="s">
        <v>21</v>
      </c>
      <c r="G76" s="42" t="s">
        <v>1</v>
      </c>
      <c r="H76" s="42" t="s">
        <v>3</v>
      </c>
      <c r="I76" s="42" t="s">
        <v>0</v>
      </c>
      <c r="J76" s="43" t="s">
        <v>7</v>
      </c>
      <c r="K76" s="74"/>
    </row>
    <row r="77" spans="2:11" x14ac:dyDescent="0.25">
      <c r="B77" s="72"/>
      <c r="C77" s="10">
        <v>1.1000000000000001</v>
      </c>
      <c r="D77" s="6">
        <f t="shared" ref="D77:D95" si="13">C77-C$77</f>
        <v>0</v>
      </c>
      <c r="E77" s="6">
        <v>0</v>
      </c>
      <c r="F77" s="11">
        <f t="shared" ref="F77:F95" si="14">E77*0.3048</f>
        <v>0</v>
      </c>
      <c r="G77" s="12">
        <f>H77/0.3048</f>
        <v>0</v>
      </c>
      <c r="H77" s="6">
        <v>0</v>
      </c>
      <c r="I77" s="13">
        <v>0</v>
      </c>
      <c r="J77" s="15"/>
      <c r="K77" s="74"/>
    </row>
    <row r="78" spans="2:11" x14ac:dyDescent="0.25">
      <c r="B78" s="72"/>
      <c r="C78" s="10">
        <v>1.5</v>
      </c>
      <c r="D78" s="6">
        <f t="shared" si="13"/>
        <v>0.39999999999999991</v>
      </c>
      <c r="E78" s="6">
        <v>0.45</v>
      </c>
      <c r="F78" s="11">
        <f t="shared" si="14"/>
        <v>0.13716</v>
      </c>
      <c r="G78" s="11">
        <f t="shared" ref="G78:G95" si="15">H78/0.3048</f>
        <v>1.5091863517060367</v>
      </c>
      <c r="H78" s="6">
        <v>0.46</v>
      </c>
      <c r="I78" s="13">
        <f t="shared" ref="I78:I93" si="16">F78*H78*(((D78-D77)/2)+((D79-D78)/2))</f>
        <v>2.8392119999999996E-2</v>
      </c>
      <c r="J78" s="15">
        <f t="shared" ref="J78:J95" si="17">(D78-D77)*((F77+F78)/2)</f>
        <v>2.7431999999999995E-2</v>
      </c>
      <c r="K78" s="74"/>
    </row>
    <row r="79" spans="2:11" x14ac:dyDescent="0.25">
      <c r="B79" s="72"/>
      <c r="C79" s="10">
        <v>2</v>
      </c>
      <c r="D79" s="6">
        <f t="shared" si="13"/>
        <v>0.89999999999999991</v>
      </c>
      <c r="E79" s="6">
        <v>0.45</v>
      </c>
      <c r="F79" s="11">
        <f t="shared" si="14"/>
        <v>0.13716</v>
      </c>
      <c r="G79" s="11">
        <f t="shared" si="15"/>
        <v>1.6732283464566928</v>
      </c>
      <c r="H79" s="6">
        <v>0.51</v>
      </c>
      <c r="I79" s="13">
        <f t="shared" si="16"/>
        <v>3.4975800000000001E-2</v>
      </c>
      <c r="J79" s="15">
        <f t="shared" si="17"/>
        <v>6.8580000000000002E-2</v>
      </c>
      <c r="K79" s="74"/>
    </row>
    <row r="80" spans="2:11" x14ac:dyDescent="0.25">
      <c r="B80" s="72"/>
      <c r="C80" s="10">
        <v>2.5</v>
      </c>
      <c r="D80" s="6">
        <f t="shared" si="13"/>
        <v>1.4</v>
      </c>
      <c r="E80" s="6">
        <v>0.55000000000000004</v>
      </c>
      <c r="F80" s="11">
        <f t="shared" si="14"/>
        <v>0.16764000000000001</v>
      </c>
      <c r="G80" s="11">
        <f t="shared" si="15"/>
        <v>2.1981627296587929</v>
      </c>
      <c r="H80" s="6">
        <v>0.67</v>
      </c>
      <c r="I80" s="13">
        <f t="shared" si="16"/>
        <v>5.6159400000000005E-2</v>
      </c>
      <c r="J80" s="15">
        <f t="shared" si="17"/>
        <v>7.6200000000000004E-2</v>
      </c>
      <c r="K80" s="74"/>
    </row>
    <row r="81" spans="2:11" x14ac:dyDescent="0.25">
      <c r="B81" s="72"/>
      <c r="C81" s="10">
        <v>3</v>
      </c>
      <c r="D81" s="6">
        <f t="shared" si="13"/>
        <v>1.9</v>
      </c>
      <c r="E81" s="6">
        <v>0.8</v>
      </c>
      <c r="F81" s="11">
        <f t="shared" si="14"/>
        <v>0.24384000000000003</v>
      </c>
      <c r="G81" s="11">
        <f t="shared" si="15"/>
        <v>2.0669291338582676</v>
      </c>
      <c r="H81" s="6">
        <v>0.63</v>
      </c>
      <c r="I81" s="13">
        <f t="shared" si="16"/>
        <v>7.6809600000000006E-2</v>
      </c>
      <c r="J81" s="15">
        <f t="shared" si="17"/>
        <v>0.10287000000000002</v>
      </c>
      <c r="K81" s="74"/>
    </row>
    <row r="82" spans="2:11" x14ac:dyDescent="0.25">
      <c r="B82" s="72"/>
      <c r="C82" s="10">
        <v>3.5</v>
      </c>
      <c r="D82" s="6">
        <f t="shared" si="13"/>
        <v>2.4</v>
      </c>
      <c r="E82" s="6">
        <v>1</v>
      </c>
      <c r="F82" s="11">
        <f t="shared" si="14"/>
        <v>0.30480000000000002</v>
      </c>
      <c r="G82" s="11">
        <f t="shared" si="15"/>
        <v>2.4278215223097113</v>
      </c>
      <c r="H82" s="6">
        <v>0.74</v>
      </c>
      <c r="I82" s="13">
        <f t="shared" si="16"/>
        <v>0.112776</v>
      </c>
      <c r="J82" s="15">
        <f t="shared" si="17"/>
        <v>0.13716</v>
      </c>
      <c r="K82" s="74"/>
    </row>
    <row r="83" spans="2:11" x14ac:dyDescent="0.25">
      <c r="B83" s="72"/>
      <c r="C83" s="10">
        <v>4</v>
      </c>
      <c r="D83" s="6">
        <f t="shared" si="13"/>
        <v>2.9</v>
      </c>
      <c r="E83" s="6">
        <v>1.2</v>
      </c>
      <c r="F83" s="11">
        <f t="shared" si="14"/>
        <v>0.36576000000000003</v>
      </c>
      <c r="G83" s="11">
        <f t="shared" si="15"/>
        <v>1.8044619422572179</v>
      </c>
      <c r="H83" s="6">
        <v>0.55000000000000004</v>
      </c>
      <c r="I83" s="13">
        <f t="shared" si="16"/>
        <v>0.10058400000000002</v>
      </c>
      <c r="J83" s="15">
        <f t="shared" si="17"/>
        <v>0.16764000000000001</v>
      </c>
      <c r="K83" s="74"/>
    </row>
    <row r="84" spans="2:11" x14ac:dyDescent="0.25">
      <c r="B84" s="72"/>
      <c r="C84" s="10">
        <v>4.5</v>
      </c>
      <c r="D84" s="6">
        <f t="shared" si="13"/>
        <v>3.4</v>
      </c>
      <c r="E84" s="6">
        <v>1</v>
      </c>
      <c r="F84" s="11">
        <f t="shared" si="14"/>
        <v>0.30480000000000002</v>
      </c>
      <c r="G84" s="11">
        <f t="shared" si="15"/>
        <v>2.5262467191601048</v>
      </c>
      <c r="H84" s="6">
        <v>0.77</v>
      </c>
      <c r="I84" s="13">
        <f t="shared" si="16"/>
        <v>0.11734800000000001</v>
      </c>
      <c r="J84" s="15">
        <f t="shared" si="17"/>
        <v>0.16764000000000001</v>
      </c>
      <c r="K84" s="74"/>
    </row>
    <row r="85" spans="2:11" x14ac:dyDescent="0.25">
      <c r="B85" s="72"/>
      <c r="C85" s="10">
        <v>5</v>
      </c>
      <c r="D85" s="6">
        <f t="shared" si="13"/>
        <v>3.9</v>
      </c>
      <c r="E85" s="6">
        <v>1.05</v>
      </c>
      <c r="F85" s="11">
        <f t="shared" si="14"/>
        <v>0.32004000000000005</v>
      </c>
      <c r="G85" s="11">
        <f t="shared" si="15"/>
        <v>3.0511811023622046</v>
      </c>
      <c r="H85" s="6">
        <v>0.93</v>
      </c>
      <c r="I85" s="25">
        <f t="shared" si="16"/>
        <v>0.14881860000000008</v>
      </c>
      <c r="J85" s="15">
        <f t="shared" si="17"/>
        <v>0.15621000000000002</v>
      </c>
      <c r="K85" s="74"/>
    </row>
    <row r="86" spans="2:11" x14ac:dyDescent="0.25">
      <c r="B86" s="72"/>
      <c r="C86" s="10">
        <v>5.5</v>
      </c>
      <c r="D86" s="6">
        <f t="shared" si="13"/>
        <v>4.4000000000000004</v>
      </c>
      <c r="E86" s="6">
        <v>1.1000000000000001</v>
      </c>
      <c r="F86" s="11">
        <f t="shared" si="14"/>
        <v>0.33528000000000002</v>
      </c>
      <c r="G86" s="11">
        <f t="shared" si="15"/>
        <v>3.7401574803149602</v>
      </c>
      <c r="H86" s="6">
        <v>1.1399999999999999</v>
      </c>
      <c r="I86" s="25">
        <f t="shared" si="16"/>
        <v>0.19110960000000007</v>
      </c>
      <c r="J86" s="15">
        <f t="shared" si="17"/>
        <v>0.16383000000000017</v>
      </c>
      <c r="K86" s="74"/>
    </row>
    <row r="87" spans="2:11" x14ac:dyDescent="0.25">
      <c r="B87" s="72"/>
      <c r="C87" s="10">
        <v>6</v>
      </c>
      <c r="D87" s="6">
        <f t="shared" si="13"/>
        <v>4.9000000000000004</v>
      </c>
      <c r="E87" s="6">
        <v>0.85</v>
      </c>
      <c r="F87" s="11">
        <f t="shared" si="14"/>
        <v>0.25908000000000003</v>
      </c>
      <c r="G87" s="11">
        <f t="shared" si="15"/>
        <v>3.8713910761154851</v>
      </c>
      <c r="H87" s="6">
        <v>1.18</v>
      </c>
      <c r="I87" s="13">
        <f t="shared" si="16"/>
        <v>0.1528572</v>
      </c>
      <c r="J87" s="15">
        <f t="shared" si="17"/>
        <v>0.14859</v>
      </c>
      <c r="K87" s="74"/>
    </row>
    <row r="88" spans="2:11" x14ac:dyDescent="0.25">
      <c r="B88" s="72"/>
      <c r="C88" s="10">
        <v>6.5</v>
      </c>
      <c r="D88" s="6">
        <f t="shared" si="13"/>
        <v>5.4</v>
      </c>
      <c r="E88" s="6">
        <v>1.05</v>
      </c>
      <c r="F88" s="11">
        <f t="shared" si="14"/>
        <v>0.32004000000000005</v>
      </c>
      <c r="G88" s="11">
        <f t="shared" si="15"/>
        <v>2.9527559055118111</v>
      </c>
      <c r="H88" s="6">
        <v>0.9</v>
      </c>
      <c r="I88" s="13">
        <f t="shared" si="16"/>
        <v>0.14401800000000003</v>
      </c>
      <c r="J88" s="15">
        <f t="shared" si="17"/>
        <v>0.14478000000000002</v>
      </c>
      <c r="K88" s="74"/>
    </row>
    <row r="89" spans="2:11" x14ac:dyDescent="0.25">
      <c r="B89" s="72"/>
      <c r="C89" s="10">
        <v>7</v>
      </c>
      <c r="D89" s="6">
        <f t="shared" si="13"/>
        <v>5.9</v>
      </c>
      <c r="E89" s="6">
        <v>1</v>
      </c>
      <c r="F89" s="11">
        <f t="shared" si="14"/>
        <v>0.30480000000000002</v>
      </c>
      <c r="G89" s="11">
        <f t="shared" si="15"/>
        <v>3.0511811023622046</v>
      </c>
      <c r="H89" s="6">
        <v>0.93</v>
      </c>
      <c r="I89" s="13">
        <f t="shared" si="16"/>
        <v>0.14173200000000002</v>
      </c>
      <c r="J89" s="15">
        <f t="shared" si="17"/>
        <v>0.15621000000000002</v>
      </c>
      <c r="K89" s="74"/>
    </row>
    <row r="90" spans="2:11" x14ac:dyDescent="0.25">
      <c r="B90" s="72"/>
      <c r="C90" s="10">
        <v>7.5</v>
      </c>
      <c r="D90" s="6">
        <f t="shared" si="13"/>
        <v>6.4</v>
      </c>
      <c r="E90" s="6">
        <v>0.95</v>
      </c>
      <c r="F90" s="11">
        <f t="shared" si="14"/>
        <v>0.28955999999999998</v>
      </c>
      <c r="G90" s="11">
        <f t="shared" si="15"/>
        <v>2.690288713910761</v>
      </c>
      <c r="H90" s="6">
        <v>0.82</v>
      </c>
      <c r="I90" s="13">
        <f t="shared" si="16"/>
        <v>0.11871959999999998</v>
      </c>
      <c r="J90" s="15">
        <f t="shared" si="17"/>
        <v>0.14859</v>
      </c>
      <c r="K90" s="74"/>
    </row>
    <row r="91" spans="2:11" x14ac:dyDescent="0.25">
      <c r="B91" s="72"/>
      <c r="C91" s="10">
        <v>8</v>
      </c>
      <c r="D91" s="6">
        <f t="shared" si="13"/>
        <v>6.9</v>
      </c>
      <c r="E91" s="6">
        <v>0.9</v>
      </c>
      <c r="F91" s="11">
        <f t="shared" si="14"/>
        <v>0.27432000000000001</v>
      </c>
      <c r="G91" s="11">
        <f t="shared" si="15"/>
        <v>2.0669291338582676</v>
      </c>
      <c r="H91" s="6">
        <v>0.63</v>
      </c>
      <c r="I91" s="13">
        <f t="shared" si="16"/>
        <v>8.641080000000001E-2</v>
      </c>
      <c r="J91" s="15">
        <f t="shared" si="17"/>
        <v>0.14096999999999998</v>
      </c>
      <c r="K91" s="74"/>
    </row>
    <row r="92" spans="2:11" x14ac:dyDescent="0.25">
      <c r="B92" s="72"/>
      <c r="C92" s="10">
        <v>8.5</v>
      </c>
      <c r="D92" s="6">
        <f t="shared" si="13"/>
        <v>7.4</v>
      </c>
      <c r="E92" s="6">
        <v>1.05</v>
      </c>
      <c r="F92" s="11">
        <f t="shared" si="14"/>
        <v>0.32004000000000005</v>
      </c>
      <c r="G92" s="11">
        <f t="shared" si="15"/>
        <v>0.85301837270341208</v>
      </c>
      <c r="H92" s="6">
        <v>0.26</v>
      </c>
      <c r="I92" s="13">
        <f t="shared" si="16"/>
        <v>4.1605200000000009E-2</v>
      </c>
      <c r="J92" s="15">
        <f t="shared" si="17"/>
        <v>0.14859</v>
      </c>
      <c r="K92" s="74"/>
    </row>
    <row r="93" spans="2:11" x14ac:dyDescent="0.25">
      <c r="B93" s="72"/>
      <c r="C93" s="10">
        <v>9</v>
      </c>
      <c r="D93" s="6">
        <f t="shared" si="13"/>
        <v>7.9</v>
      </c>
      <c r="E93" s="6">
        <v>0.65</v>
      </c>
      <c r="F93" s="11">
        <f t="shared" si="14"/>
        <v>0.19812000000000002</v>
      </c>
      <c r="G93" s="11">
        <f t="shared" si="15"/>
        <v>1.2139107611548556</v>
      </c>
      <c r="H93" s="6">
        <v>0.37</v>
      </c>
      <c r="I93" s="13">
        <f t="shared" si="16"/>
        <v>3.6652200000000003E-2</v>
      </c>
      <c r="J93" s="15">
        <f t="shared" si="17"/>
        <v>0.12954000000000002</v>
      </c>
      <c r="K93" s="74"/>
    </row>
    <row r="94" spans="2:11" x14ac:dyDescent="0.25">
      <c r="B94" s="72"/>
      <c r="C94" s="10">
        <v>9.5</v>
      </c>
      <c r="D94" s="6">
        <f t="shared" si="13"/>
        <v>8.4</v>
      </c>
      <c r="E94" s="6">
        <v>0.35</v>
      </c>
      <c r="F94" s="11">
        <f t="shared" si="14"/>
        <v>0.10668</v>
      </c>
      <c r="G94" s="11">
        <f t="shared" si="15"/>
        <v>0.16404199475065617</v>
      </c>
      <c r="H94" s="6">
        <v>0.05</v>
      </c>
      <c r="I94" s="13">
        <f>F94*H94*(((D94-D93)/2)+((D95-D94)))</f>
        <v>1.6002000000000039E-3</v>
      </c>
      <c r="J94" s="15">
        <f t="shared" si="17"/>
        <v>7.6200000000000004E-2</v>
      </c>
      <c r="K94" s="74"/>
    </row>
    <row r="95" spans="2:11" x14ac:dyDescent="0.25">
      <c r="B95" s="72"/>
      <c r="C95" s="10">
        <v>9.5500000000000007</v>
      </c>
      <c r="D95" s="6">
        <f t="shared" si="13"/>
        <v>8.4500000000000011</v>
      </c>
      <c r="E95" s="6">
        <v>0</v>
      </c>
      <c r="F95" s="11">
        <f t="shared" si="14"/>
        <v>0</v>
      </c>
      <c r="G95" s="11">
        <f t="shared" si="15"/>
        <v>0</v>
      </c>
      <c r="H95" s="6">
        <v>0</v>
      </c>
      <c r="I95" s="13">
        <v>0</v>
      </c>
      <c r="J95" s="15">
        <f t="shared" si="17"/>
        <v>2.6670000000000378E-3</v>
      </c>
      <c r="K95" s="74"/>
    </row>
    <row r="96" spans="2:11" x14ac:dyDescent="0.25">
      <c r="B96" s="72"/>
      <c r="C96" s="10"/>
      <c r="D96" s="16">
        <f>D95</f>
        <v>8.4500000000000011</v>
      </c>
      <c r="E96" s="6"/>
      <c r="F96" s="6"/>
      <c r="G96" s="6"/>
      <c r="H96" s="6"/>
      <c r="I96" s="17">
        <f>SUM(I77:I95)</f>
        <v>1.59056832</v>
      </c>
      <c r="J96" s="18">
        <f>SUM(J78:J95)</f>
        <v>2.1636990000000003</v>
      </c>
      <c r="K96" s="74"/>
    </row>
    <row r="97" spans="2:11" ht="15.6" x14ac:dyDescent="0.25">
      <c r="B97" s="72"/>
      <c r="C97" s="19"/>
      <c r="D97" s="20" t="s">
        <v>30</v>
      </c>
      <c r="E97" s="21"/>
      <c r="F97" s="21"/>
      <c r="G97" s="21"/>
      <c r="H97" s="21"/>
      <c r="I97" s="22" t="s">
        <v>34</v>
      </c>
      <c r="J97" s="23" t="s">
        <v>33</v>
      </c>
      <c r="K97" s="74"/>
    </row>
    <row r="98" spans="2:11" x14ac:dyDescent="0.25">
      <c r="B98" s="72"/>
      <c r="C98" s="68"/>
      <c r="D98" s="68"/>
      <c r="E98" s="68"/>
      <c r="F98" s="68"/>
      <c r="G98" s="68"/>
      <c r="H98" s="68"/>
      <c r="I98" s="151"/>
      <c r="J98" s="152"/>
      <c r="K98" s="74"/>
    </row>
    <row r="99" spans="2:11" x14ac:dyDescent="0.25">
      <c r="B99" s="72"/>
      <c r="C99" s="68"/>
      <c r="D99" s="68"/>
      <c r="E99" s="68"/>
      <c r="F99" s="68"/>
      <c r="G99" s="68"/>
      <c r="H99" s="68"/>
      <c r="I99" s="153"/>
      <c r="J99" s="152"/>
      <c r="K99" s="74"/>
    </row>
    <row r="100" spans="2:11" x14ac:dyDescent="0.25">
      <c r="B100" s="72"/>
      <c r="C100" s="33" t="s">
        <v>26</v>
      </c>
      <c r="D100" s="34" t="s">
        <v>17</v>
      </c>
      <c r="E100" s="34" t="s">
        <v>5</v>
      </c>
      <c r="F100" s="34"/>
      <c r="G100" s="34"/>
      <c r="H100" s="35" t="s">
        <v>35</v>
      </c>
      <c r="I100" s="34">
        <v>24</v>
      </c>
      <c r="J100" s="36"/>
      <c r="K100" s="74"/>
    </row>
    <row r="101" spans="2:11" x14ac:dyDescent="0.25">
      <c r="B101" s="72"/>
      <c r="C101" s="37" t="s">
        <v>23</v>
      </c>
      <c r="D101" s="38" t="s">
        <v>25</v>
      </c>
      <c r="E101" s="38" t="s">
        <v>29</v>
      </c>
      <c r="F101" s="38" t="s">
        <v>29</v>
      </c>
      <c r="G101" s="38" t="s">
        <v>27</v>
      </c>
      <c r="H101" s="38" t="s">
        <v>27</v>
      </c>
      <c r="I101" s="39" t="s">
        <v>31</v>
      </c>
      <c r="J101" s="40" t="s">
        <v>19</v>
      </c>
      <c r="K101" s="74"/>
    </row>
    <row r="102" spans="2:11" x14ac:dyDescent="0.25">
      <c r="B102" s="72"/>
      <c r="C102" s="41" t="s">
        <v>28</v>
      </c>
      <c r="D102" s="42" t="s">
        <v>24</v>
      </c>
      <c r="E102" s="42" t="s">
        <v>20</v>
      </c>
      <c r="F102" s="42" t="s">
        <v>21</v>
      </c>
      <c r="G102" s="42" t="s">
        <v>1</v>
      </c>
      <c r="H102" s="42" t="s">
        <v>3</v>
      </c>
      <c r="I102" s="42" t="s">
        <v>0</v>
      </c>
      <c r="J102" s="43" t="s">
        <v>7</v>
      </c>
      <c r="K102" s="74"/>
    </row>
    <row r="103" spans="2:11" x14ac:dyDescent="0.25">
      <c r="B103" s="72"/>
      <c r="C103" s="10">
        <v>1.2</v>
      </c>
      <c r="D103" s="6">
        <f t="shared" ref="D103:D121" si="18">C103-C$103</f>
        <v>0</v>
      </c>
      <c r="E103" s="6">
        <v>0</v>
      </c>
      <c r="F103" s="11">
        <f t="shared" ref="F103:F121" si="19">E103*0.3048</f>
        <v>0</v>
      </c>
      <c r="G103" s="12">
        <f>H103/0.3048</f>
        <v>0</v>
      </c>
      <c r="H103" s="6">
        <v>0</v>
      </c>
      <c r="I103" s="13">
        <v>0</v>
      </c>
      <c r="J103" s="14"/>
      <c r="K103" s="74"/>
    </row>
    <row r="104" spans="2:11" x14ac:dyDescent="0.25">
      <c r="B104" s="72"/>
      <c r="C104" s="10">
        <v>1.5</v>
      </c>
      <c r="D104" s="6">
        <f t="shared" si="18"/>
        <v>0.30000000000000004</v>
      </c>
      <c r="E104" s="6">
        <v>0.45</v>
      </c>
      <c r="F104" s="11">
        <f t="shared" si="19"/>
        <v>0.13716</v>
      </c>
      <c r="G104" s="11">
        <f t="shared" ref="G104:G121" si="20">H104/0.3048</f>
        <v>1.5748031496062991</v>
      </c>
      <c r="H104" s="6">
        <v>0.48</v>
      </c>
      <c r="I104" s="13">
        <f>F104*H104*(((D104-D103))+((D105-D104)/2))</f>
        <v>3.6210240000000005E-2</v>
      </c>
      <c r="J104" s="15">
        <f t="shared" ref="J104:J121" si="21">(D104-D103)*((F103+F104)/2)</f>
        <v>2.0574000000000002E-2</v>
      </c>
      <c r="K104" s="74"/>
    </row>
    <row r="105" spans="2:11" x14ac:dyDescent="0.25">
      <c r="B105" s="72"/>
      <c r="C105" s="10">
        <v>2</v>
      </c>
      <c r="D105" s="6">
        <f t="shared" si="18"/>
        <v>0.8</v>
      </c>
      <c r="E105" s="6">
        <v>0.45</v>
      </c>
      <c r="F105" s="11">
        <f t="shared" si="19"/>
        <v>0.13716</v>
      </c>
      <c r="G105" s="11">
        <f t="shared" si="20"/>
        <v>1.8700787401574801</v>
      </c>
      <c r="H105" s="6">
        <v>0.56999999999999995</v>
      </c>
      <c r="I105" s="13">
        <f t="shared" ref="I105:I119" si="22">F105*H105*(((D105-D104)/2)+((D106-D105)/2))</f>
        <v>3.9090599999999996E-2</v>
      </c>
      <c r="J105" s="15">
        <f t="shared" si="21"/>
        <v>6.8580000000000002E-2</v>
      </c>
      <c r="K105" s="74"/>
    </row>
    <row r="106" spans="2:11" x14ac:dyDescent="0.25">
      <c r="B106" s="72"/>
      <c r="C106" s="10">
        <v>2.5</v>
      </c>
      <c r="D106" s="6">
        <f t="shared" si="18"/>
        <v>1.3</v>
      </c>
      <c r="E106" s="6">
        <v>0.6</v>
      </c>
      <c r="F106" s="11">
        <f t="shared" si="19"/>
        <v>0.18288000000000001</v>
      </c>
      <c r="G106" s="11">
        <f t="shared" si="20"/>
        <v>1.9356955380577425</v>
      </c>
      <c r="H106" s="6">
        <v>0.59</v>
      </c>
      <c r="I106" s="13">
        <f t="shared" si="22"/>
        <v>5.39496E-2</v>
      </c>
      <c r="J106" s="15">
        <f t="shared" si="21"/>
        <v>8.0009999999999998E-2</v>
      </c>
      <c r="K106" s="74"/>
    </row>
    <row r="107" spans="2:11" x14ac:dyDescent="0.25">
      <c r="B107" s="72"/>
      <c r="C107" s="10">
        <v>3</v>
      </c>
      <c r="D107" s="6">
        <f t="shared" si="18"/>
        <v>1.8</v>
      </c>
      <c r="E107" s="6">
        <v>0.8</v>
      </c>
      <c r="F107" s="11">
        <f t="shared" si="19"/>
        <v>0.24384000000000003</v>
      </c>
      <c r="G107" s="11">
        <f t="shared" si="20"/>
        <v>2.5262467191601048</v>
      </c>
      <c r="H107" s="6">
        <v>0.77</v>
      </c>
      <c r="I107" s="13">
        <f t="shared" si="22"/>
        <v>9.3878399999999987E-2</v>
      </c>
      <c r="J107" s="15">
        <f t="shared" si="21"/>
        <v>0.10668000000000001</v>
      </c>
      <c r="K107" s="74"/>
    </row>
    <row r="108" spans="2:11" x14ac:dyDescent="0.25">
      <c r="B108" s="72"/>
      <c r="C108" s="10">
        <v>3.5</v>
      </c>
      <c r="D108" s="6">
        <f t="shared" si="18"/>
        <v>2.2999999999999998</v>
      </c>
      <c r="E108" s="6">
        <v>1</v>
      </c>
      <c r="F108" s="11">
        <f t="shared" si="19"/>
        <v>0.30480000000000002</v>
      </c>
      <c r="G108" s="11">
        <f t="shared" si="20"/>
        <v>2.8215223097112858</v>
      </c>
      <c r="H108" s="6">
        <v>0.86</v>
      </c>
      <c r="I108" s="13">
        <f t="shared" si="22"/>
        <v>0.13106399999999999</v>
      </c>
      <c r="J108" s="15">
        <f t="shared" si="21"/>
        <v>0.13715999999999995</v>
      </c>
      <c r="K108" s="74"/>
    </row>
    <row r="109" spans="2:11" x14ac:dyDescent="0.25">
      <c r="B109" s="72"/>
      <c r="C109" s="10">
        <v>4</v>
      </c>
      <c r="D109" s="6">
        <f t="shared" si="18"/>
        <v>2.8</v>
      </c>
      <c r="E109" s="6">
        <v>1</v>
      </c>
      <c r="F109" s="11">
        <f t="shared" si="19"/>
        <v>0.30480000000000002</v>
      </c>
      <c r="G109" s="11">
        <f t="shared" si="20"/>
        <v>2.690288713910761</v>
      </c>
      <c r="H109" s="6">
        <v>0.82</v>
      </c>
      <c r="I109" s="13">
        <f t="shared" si="22"/>
        <v>0.124968</v>
      </c>
      <c r="J109" s="15">
        <f t="shared" si="21"/>
        <v>0.15240000000000001</v>
      </c>
      <c r="K109" s="74"/>
    </row>
    <row r="110" spans="2:11" x14ac:dyDescent="0.25">
      <c r="B110" s="72"/>
      <c r="C110" s="10">
        <v>4.5</v>
      </c>
      <c r="D110" s="6">
        <f t="shared" si="18"/>
        <v>3.3</v>
      </c>
      <c r="E110" s="6">
        <v>1</v>
      </c>
      <c r="F110" s="11">
        <f t="shared" si="19"/>
        <v>0.30480000000000002</v>
      </c>
      <c r="G110" s="11">
        <f t="shared" si="20"/>
        <v>3.0511811023622046</v>
      </c>
      <c r="H110" s="6">
        <v>0.93</v>
      </c>
      <c r="I110" s="13">
        <f t="shared" si="22"/>
        <v>0.14173200000000002</v>
      </c>
      <c r="J110" s="15">
        <f t="shared" si="21"/>
        <v>0.15240000000000001</v>
      </c>
      <c r="K110" s="74"/>
    </row>
    <row r="111" spans="2:11" x14ac:dyDescent="0.25">
      <c r="B111" s="72"/>
      <c r="C111" s="10">
        <v>5</v>
      </c>
      <c r="D111" s="6">
        <f t="shared" si="18"/>
        <v>3.8</v>
      </c>
      <c r="E111" s="6">
        <v>0.8</v>
      </c>
      <c r="F111" s="11">
        <f t="shared" si="19"/>
        <v>0.24384000000000003</v>
      </c>
      <c r="G111" s="11">
        <f t="shared" si="20"/>
        <v>2.1981627296587929</v>
      </c>
      <c r="H111" s="6">
        <v>0.67</v>
      </c>
      <c r="I111" s="13">
        <f t="shared" si="22"/>
        <v>8.168640000000002E-2</v>
      </c>
      <c r="J111" s="15">
        <f t="shared" si="21"/>
        <v>0.13716</v>
      </c>
      <c r="K111" s="74"/>
    </row>
    <row r="112" spans="2:11" x14ac:dyDescent="0.25">
      <c r="B112" s="72"/>
      <c r="C112" s="10">
        <v>5.5</v>
      </c>
      <c r="D112" s="6">
        <f t="shared" si="18"/>
        <v>4.3</v>
      </c>
      <c r="E112" s="6">
        <v>1</v>
      </c>
      <c r="F112" s="11">
        <f t="shared" si="19"/>
        <v>0.30480000000000002</v>
      </c>
      <c r="G112" s="11">
        <f t="shared" si="20"/>
        <v>3.969816272965879</v>
      </c>
      <c r="H112" s="6">
        <v>1.21</v>
      </c>
      <c r="I112" s="25">
        <f t="shared" si="22"/>
        <v>0.18440400000000001</v>
      </c>
      <c r="J112" s="15">
        <f t="shared" si="21"/>
        <v>0.13716</v>
      </c>
      <c r="K112" s="74"/>
    </row>
    <row r="113" spans="2:11" x14ac:dyDescent="0.25">
      <c r="B113" s="72"/>
      <c r="C113" s="10">
        <v>6</v>
      </c>
      <c r="D113" s="6">
        <f t="shared" si="18"/>
        <v>4.8</v>
      </c>
      <c r="E113" s="6">
        <v>1.05</v>
      </c>
      <c r="F113" s="11">
        <f t="shared" si="19"/>
        <v>0.32004000000000005</v>
      </c>
      <c r="G113" s="11">
        <f t="shared" si="20"/>
        <v>3.3464566929133857</v>
      </c>
      <c r="H113" s="6">
        <v>1.02</v>
      </c>
      <c r="I113" s="25">
        <f t="shared" si="22"/>
        <v>0.16322040000000002</v>
      </c>
      <c r="J113" s="15">
        <f t="shared" si="21"/>
        <v>0.15621000000000002</v>
      </c>
      <c r="K113" s="74"/>
    </row>
    <row r="114" spans="2:11" x14ac:dyDescent="0.25">
      <c r="B114" s="72"/>
      <c r="C114" s="10">
        <v>6.5</v>
      </c>
      <c r="D114" s="6">
        <f t="shared" si="18"/>
        <v>5.3</v>
      </c>
      <c r="E114" s="6">
        <v>1</v>
      </c>
      <c r="F114" s="11">
        <f t="shared" si="19"/>
        <v>0.30480000000000002</v>
      </c>
      <c r="G114" s="11">
        <f t="shared" si="20"/>
        <v>2.3622047244094486</v>
      </c>
      <c r="H114" s="6">
        <v>0.72</v>
      </c>
      <c r="I114" s="13">
        <f t="shared" si="22"/>
        <v>0.10972800000000001</v>
      </c>
      <c r="J114" s="15">
        <f t="shared" si="21"/>
        <v>0.15621000000000002</v>
      </c>
      <c r="K114" s="74"/>
    </row>
    <row r="115" spans="2:11" x14ac:dyDescent="0.25">
      <c r="B115" s="72"/>
      <c r="C115" s="10">
        <v>7</v>
      </c>
      <c r="D115" s="6">
        <f t="shared" si="18"/>
        <v>5.8</v>
      </c>
      <c r="E115" s="6">
        <v>1</v>
      </c>
      <c r="F115" s="11">
        <f t="shared" si="19"/>
        <v>0.30480000000000002</v>
      </c>
      <c r="G115" s="11">
        <f t="shared" si="20"/>
        <v>2.8871391076115485</v>
      </c>
      <c r="H115" s="6">
        <v>0.88</v>
      </c>
      <c r="I115" s="13">
        <f t="shared" si="22"/>
        <v>0.13411200000000001</v>
      </c>
      <c r="J115" s="15">
        <f t="shared" si="21"/>
        <v>0.15240000000000001</v>
      </c>
      <c r="K115" s="74"/>
    </row>
    <row r="116" spans="2:11" x14ac:dyDescent="0.25">
      <c r="B116" s="72"/>
      <c r="C116" s="10">
        <v>7.5</v>
      </c>
      <c r="D116" s="6">
        <f t="shared" si="18"/>
        <v>6.3</v>
      </c>
      <c r="E116" s="6">
        <v>0.85</v>
      </c>
      <c r="F116" s="11">
        <f t="shared" si="19"/>
        <v>0.25908000000000003</v>
      </c>
      <c r="G116" s="11">
        <f t="shared" si="20"/>
        <v>2.5918635170603674</v>
      </c>
      <c r="H116" s="6">
        <v>0.79</v>
      </c>
      <c r="I116" s="13">
        <f t="shared" si="22"/>
        <v>0.10233660000000001</v>
      </c>
      <c r="J116" s="15">
        <f t="shared" si="21"/>
        <v>0.14097000000000001</v>
      </c>
      <c r="K116" s="74"/>
    </row>
    <row r="117" spans="2:11" x14ac:dyDescent="0.25">
      <c r="B117" s="72"/>
      <c r="C117" s="10">
        <v>8</v>
      </c>
      <c r="D117" s="6">
        <f t="shared" si="18"/>
        <v>6.8</v>
      </c>
      <c r="E117" s="6">
        <v>0.95</v>
      </c>
      <c r="F117" s="11">
        <f t="shared" si="19"/>
        <v>0.28955999999999998</v>
      </c>
      <c r="G117" s="11">
        <f t="shared" si="20"/>
        <v>2.4606299212598426</v>
      </c>
      <c r="H117" s="6">
        <v>0.75</v>
      </c>
      <c r="I117" s="13">
        <f t="shared" si="22"/>
        <v>0.10858499999999999</v>
      </c>
      <c r="J117" s="15">
        <f t="shared" si="21"/>
        <v>0.13716</v>
      </c>
      <c r="K117" s="74"/>
    </row>
    <row r="118" spans="2:11" x14ac:dyDescent="0.25">
      <c r="B118" s="72"/>
      <c r="C118" s="10">
        <v>8.5</v>
      </c>
      <c r="D118" s="6">
        <f t="shared" si="18"/>
        <v>7.3</v>
      </c>
      <c r="E118" s="6">
        <v>1.05</v>
      </c>
      <c r="F118" s="11">
        <f t="shared" si="19"/>
        <v>0.32004000000000005</v>
      </c>
      <c r="G118" s="11">
        <f t="shared" si="20"/>
        <v>1.0826771653543308</v>
      </c>
      <c r="H118" s="6">
        <v>0.33</v>
      </c>
      <c r="I118" s="13">
        <f t="shared" si="22"/>
        <v>5.2806600000000009E-2</v>
      </c>
      <c r="J118" s="15">
        <f t="shared" si="21"/>
        <v>0.15240000000000001</v>
      </c>
      <c r="K118" s="74"/>
    </row>
    <row r="119" spans="2:11" x14ac:dyDescent="0.25">
      <c r="B119" s="72"/>
      <c r="C119" s="10">
        <v>9</v>
      </c>
      <c r="D119" s="6">
        <f t="shared" si="18"/>
        <v>7.8</v>
      </c>
      <c r="E119" s="6">
        <v>0.65</v>
      </c>
      <c r="F119" s="11">
        <f t="shared" si="19"/>
        <v>0.19812000000000002</v>
      </c>
      <c r="G119" s="11">
        <f t="shared" si="20"/>
        <v>0.52493438320209973</v>
      </c>
      <c r="H119" s="6">
        <v>0.16</v>
      </c>
      <c r="I119" s="13">
        <f t="shared" si="22"/>
        <v>1.5849600000000016E-2</v>
      </c>
      <c r="J119" s="15">
        <f t="shared" si="21"/>
        <v>0.12954000000000002</v>
      </c>
      <c r="K119" s="74"/>
    </row>
    <row r="120" spans="2:11" x14ac:dyDescent="0.25">
      <c r="B120" s="72"/>
      <c r="C120" s="10">
        <v>9.5</v>
      </c>
      <c r="D120" s="6">
        <f t="shared" si="18"/>
        <v>8.3000000000000007</v>
      </c>
      <c r="E120" s="6">
        <v>0.4</v>
      </c>
      <c r="F120" s="11">
        <f t="shared" si="19"/>
        <v>0.12192000000000001</v>
      </c>
      <c r="G120" s="11">
        <f t="shared" si="20"/>
        <v>0.39370078740157477</v>
      </c>
      <c r="H120" s="6">
        <v>0.12</v>
      </c>
      <c r="I120" s="13">
        <f>F120*H120*(((D120-D119)/2)+((D121-D120)))</f>
        <v>5.8521600000000125E-3</v>
      </c>
      <c r="J120" s="15">
        <f t="shared" si="21"/>
        <v>8.001000000000015E-2</v>
      </c>
      <c r="K120" s="74"/>
    </row>
    <row r="121" spans="2:11" x14ac:dyDescent="0.25">
      <c r="B121" s="72"/>
      <c r="C121" s="10">
        <v>9.65</v>
      </c>
      <c r="D121" s="6">
        <f t="shared" si="18"/>
        <v>8.4500000000000011</v>
      </c>
      <c r="E121" s="6">
        <v>0</v>
      </c>
      <c r="F121" s="11">
        <f t="shared" si="19"/>
        <v>0</v>
      </c>
      <c r="G121" s="11">
        <f t="shared" si="20"/>
        <v>0</v>
      </c>
      <c r="H121" s="6">
        <v>0</v>
      </c>
      <c r="I121" s="13">
        <v>0</v>
      </c>
      <c r="J121" s="15">
        <f t="shared" si="21"/>
        <v>9.1440000000000219E-3</v>
      </c>
      <c r="K121" s="74"/>
    </row>
    <row r="122" spans="2:11" x14ac:dyDescent="0.25">
      <c r="B122" s="72"/>
      <c r="C122" s="10"/>
      <c r="D122" s="16">
        <f>D121</f>
        <v>8.4500000000000011</v>
      </c>
      <c r="E122" s="6"/>
      <c r="F122" s="6"/>
      <c r="G122" s="6"/>
      <c r="H122" s="6"/>
      <c r="I122" s="17">
        <f>SUM(I103:I121)</f>
        <v>1.5794736000000003</v>
      </c>
      <c r="J122" s="18">
        <f>SUM(J104:J121)</f>
        <v>2.1061680000000003</v>
      </c>
      <c r="K122" s="74"/>
    </row>
    <row r="123" spans="2:11" ht="15.6" x14ac:dyDescent="0.25">
      <c r="B123" s="72"/>
      <c r="C123" s="19"/>
      <c r="D123" s="20" t="s">
        <v>30</v>
      </c>
      <c r="E123" s="21"/>
      <c r="F123" s="21"/>
      <c r="G123" s="21"/>
      <c r="H123" s="21"/>
      <c r="I123" s="22" t="s">
        <v>34</v>
      </c>
      <c r="J123" s="23" t="s">
        <v>33</v>
      </c>
      <c r="K123" s="74"/>
    </row>
    <row r="124" spans="2:11" x14ac:dyDescent="0.25">
      <c r="B124" s="72"/>
      <c r="C124" s="6"/>
      <c r="D124" s="6"/>
      <c r="E124" s="6"/>
      <c r="F124" s="6"/>
      <c r="G124" s="6"/>
      <c r="H124" s="6"/>
      <c r="I124" s="7"/>
      <c r="J124" s="6"/>
      <c r="K124" s="74"/>
    </row>
    <row r="125" spans="2:11" x14ac:dyDescent="0.25">
      <c r="B125" s="72"/>
      <c r="C125" s="6"/>
      <c r="D125" s="6"/>
      <c r="E125" s="6"/>
      <c r="F125" s="6"/>
      <c r="G125" s="6"/>
      <c r="H125" s="6"/>
      <c r="I125" s="9"/>
      <c r="J125" s="6"/>
      <c r="K125" s="74"/>
    </row>
    <row r="126" spans="2:11" x14ac:dyDescent="0.25">
      <c r="B126" s="72"/>
      <c r="C126" s="33" t="s">
        <v>26</v>
      </c>
      <c r="D126" s="34" t="s">
        <v>11</v>
      </c>
      <c r="E126" s="34" t="s">
        <v>8</v>
      </c>
      <c r="F126" s="34"/>
      <c r="G126" s="34"/>
      <c r="H126" s="35" t="s">
        <v>35</v>
      </c>
      <c r="I126" s="34">
        <v>18</v>
      </c>
      <c r="J126" s="36"/>
      <c r="K126" s="74"/>
    </row>
    <row r="127" spans="2:11" x14ac:dyDescent="0.25">
      <c r="B127" s="72"/>
      <c r="C127" s="37" t="s">
        <v>23</v>
      </c>
      <c r="D127" s="38" t="s">
        <v>25</v>
      </c>
      <c r="E127" s="38" t="s">
        <v>29</v>
      </c>
      <c r="F127" s="38" t="s">
        <v>29</v>
      </c>
      <c r="G127" s="38" t="s">
        <v>27</v>
      </c>
      <c r="H127" s="38" t="s">
        <v>27</v>
      </c>
      <c r="I127" s="39" t="s">
        <v>31</v>
      </c>
      <c r="J127" s="40" t="s">
        <v>19</v>
      </c>
      <c r="K127" s="74"/>
    </row>
    <row r="128" spans="2:11" x14ac:dyDescent="0.25">
      <c r="B128" s="72"/>
      <c r="C128" s="41" t="s">
        <v>28</v>
      </c>
      <c r="D128" s="42" t="s">
        <v>24</v>
      </c>
      <c r="E128" s="42" t="s">
        <v>20</v>
      </c>
      <c r="F128" s="42" t="s">
        <v>21</v>
      </c>
      <c r="G128" s="42" t="s">
        <v>1</v>
      </c>
      <c r="H128" s="42" t="s">
        <v>3</v>
      </c>
      <c r="I128" s="42" t="s">
        <v>0</v>
      </c>
      <c r="J128" s="43" t="s">
        <v>7</v>
      </c>
      <c r="K128" s="74"/>
    </row>
    <row r="129" spans="2:11" x14ac:dyDescent="0.25">
      <c r="B129" s="72"/>
      <c r="C129" s="10">
        <v>1.25</v>
      </c>
      <c r="D129" s="6">
        <f t="shared" ref="D129:D147" si="23">C129-C$129</f>
        <v>0</v>
      </c>
      <c r="E129" s="6">
        <v>0</v>
      </c>
      <c r="F129" s="11">
        <f t="shared" ref="F129:F147" si="24">E129*0.3048</f>
        <v>0</v>
      </c>
      <c r="G129" s="6">
        <v>0</v>
      </c>
      <c r="H129" s="11">
        <f t="shared" ref="H129:H147" si="25">G129*0.3048</f>
        <v>0</v>
      </c>
      <c r="I129" s="13">
        <v>0</v>
      </c>
      <c r="J129" s="14"/>
      <c r="K129" s="74"/>
    </row>
    <row r="130" spans="2:11" x14ac:dyDescent="0.25">
      <c r="B130" s="72"/>
      <c r="C130" s="10">
        <v>1.5</v>
      </c>
      <c r="D130" s="6">
        <f t="shared" si="23"/>
        <v>0.25</v>
      </c>
      <c r="E130" s="6">
        <v>0.2</v>
      </c>
      <c r="F130" s="11">
        <f t="shared" si="24"/>
        <v>6.0960000000000007E-2</v>
      </c>
      <c r="G130" s="6">
        <v>0.85</v>
      </c>
      <c r="H130" s="11">
        <f t="shared" si="25"/>
        <v>0.25908000000000003</v>
      </c>
      <c r="I130" s="13">
        <f>F130*H130*(((D130-D129))+((D131-D130)/2))</f>
        <v>7.8967584000000021E-3</v>
      </c>
      <c r="J130" s="15">
        <f t="shared" ref="J130:J147" si="26">(D130-D129)*((F129+F130)/2)</f>
        <v>7.6200000000000009E-3</v>
      </c>
      <c r="K130" s="74"/>
    </row>
    <row r="131" spans="2:11" x14ac:dyDescent="0.25">
      <c r="B131" s="72"/>
      <c r="C131" s="10">
        <v>2</v>
      </c>
      <c r="D131" s="6">
        <f t="shared" si="23"/>
        <v>0.75</v>
      </c>
      <c r="E131" s="6">
        <v>0.3</v>
      </c>
      <c r="F131" s="11">
        <f t="shared" si="24"/>
        <v>9.1440000000000007E-2</v>
      </c>
      <c r="G131" s="6">
        <v>1.45</v>
      </c>
      <c r="H131" s="11">
        <f t="shared" si="25"/>
        <v>0.44196000000000002</v>
      </c>
      <c r="I131" s="13">
        <f t="shared" ref="I131:I145" si="27">F131*H131*(((D131-D130)/2)+((D132-D131)/2))</f>
        <v>2.0206411200000003E-2</v>
      </c>
      <c r="J131" s="15">
        <f t="shared" si="26"/>
        <v>3.8100000000000002E-2</v>
      </c>
      <c r="K131" s="74"/>
    </row>
    <row r="132" spans="2:11" x14ac:dyDescent="0.25">
      <c r="B132" s="72"/>
      <c r="C132" s="10">
        <v>2.5</v>
      </c>
      <c r="D132" s="6">
        <f t="shared" si="23"/>
        <v>1.25</v>
      </c>
      <c r="E132" s="6">
        <v>0.5</v>
      </c>
      <c r="F132" s="11">
        <f t="shared" si="24"/>
        <v>0.15240000000000001</v>
      </c>
      <c r="G132" s="6">
        <v>1.55</v>
      </c>
      <c r="H132" s="11">
        <f t="shared" si="25"/>
        <v>0.47244000000000003</v>
      </c>
      <c r="I132" s="13">
        <f t="shared" si="27"/>
        <v>3.5999928E-2</v>
      </c>
      <c r="J132" s="15">
        <f t="shared" si="26"/>
        <v>6.096E-2</v>
      </c>
      <c r="K132" s="74"/>
    </row>
    <row r="133" spans="2:11" x14ac:dyDescent="0.25">
      <c r="B133" s="72"/>
      <c r="C133" s="10">
        <v>3</v>
      </c>
      <c r="D133" s="6">
        <f t="shared" si="23"/>
        <v>1.75</v>
      </c>
      <c r="E133" s="6">
        <v>0.6</v>
      </c>
      <c r="F133" s="11">
        <f t="shared" si="24"/>
        <v>0.18288000000000001</v>
      </c>
      <c r="G133" s="6">
        <v>2.1</v>
      </c>
      <c r="H133" s="11">
        <f t="shared" si="25"/>
        <v>0.64008000000000009</v>
      </c>
      <c r="I133" s="13">
        <f t="shared" si="27"/>
        <v>5.852891520000001E-2</v>
      </c>
      <c r="J133" s="15">
        <f t="shared" si="26"/>
        <v>8.3820000000000006E-2</v>
      </c>
      <c r="K133" s="74"/>
    </row>
    <row r="134" spans="2:11" x14ac:dyDescent="0.25">
      <c r="B134" s="72"/>
      <c r="C134" s="10">
        <v>3.5</v>
      </c>
      <c r="D134" s="6">
        <f t="shared" si="23"/>
        <v>2.25</v>
      </c>
      <c r="E134" s="6">
        <v>0.8</v>
      </c>
      <c r="F134" s="11">
        <f t="shared" si="24"/>
        <v>0.24384000000000003</v>
      </c>
      <c r="G134" s="6">
        <v>2.2000000000000002</v>
      </c>
      <c r="H134" s="11">
        <f t="shared" si="25"/>
        <v>0.67056000000000004</v>
      </c>
      <c r="I134" s="13">
        <f t="shared" si="27"/>
        <v>8.1754675200000015E-2</v>
      </c>
      <c r="J134" s="15">
        <f t="shared" si="26"/>
        <v>0.10668000000000001</v>
      </c>
      <c r="K134" s="74"/>
    </row>
    <row r="135" spans="2:11" x14ac:dyDescent="0.25">
      <c r="B135" s="72"/>
      <c r="C135" s="10">
        <v>4</v>
      </c>
      <c r="D135" s="6">
        <f t="shared" si="23"/>
        <v>2.75</v>
      </c>
      <c r="E135" s="6">
        <v>0.85</v>
      </c>
      <c r="F135" s="11">
        <f t="shared" si="24"/>
        <v>0.25908000000000003</v>
      </c>
      <c r="G135" s="6">
        <v>2.5</v>
      </c>
      <c r="H135" s="11">
        <f t="shared" si="25"/>
        <v>0.76200000000000001</v>
      </c>
      <c r="I135" s="13">
        <f t="shared" si="27"/>
        <v>9.8709480000000016E-2</v>
      </c>
      <c r="J135" s="15">
        <f t="shared" si="26"/>
        <v>0.12573000000000001</v>
      </c>
      <c r="K135" s="74"/>
    </row>
    <row r="136" spans="2:11" x14ac:dyDescent="0.25">
      <c r="B136" s="72"/>
      <c r="C136" s="10">
        <v>4.5</v>
      </c>
      <c r="D136" s="6">
        <f t="shared" si="23"/>
        <v>3.25</v>
      </c>
      <c r="E136" s="6">
        <v>0.8</v>
      </c>
      <c r="F136" s="11">
        <f t="shared" si="24"/>
        <v>0.24384000000000003</v>
      </c>
      <c r="G136" s="6">
        <v>2.15</v>
      </c>
      <c r="H136" s="11">
        <f t="shared" si="25"/>
        <v>0.65532000000000001</v>
      </c>
      <c r="I136" s="13">
        <f t="shared" si="27"/>
        <v>7.989661440000001E-2</v>
      </c>
      <c r="J136" s="15">
        <f t="shared" si="26"/>
        <v>0.12573000000000001</v>
      </c>
      <c r="K136" s="74"/>
    </row>
    <row r="137" spans="2:11" x14ac:dyDescent="0.25">
      <c r="B137" s="72"/>
      <c r="C137" s="10">
        <v>5</v>
      </c>
      <c r="D137" s="6">
        <f t="shared" si="23"/>
        <v>3.75</v>
      </c>
      <c r="E137" s="6">
        <v>0.6</v>
      </c>
      <c r="F137" s="11">
        <f t="shared" si="24"/>
        <v>0.18288000000000001</v>
      </c>
      <c r="G137" s="6">
        <v>2.0499999999999998</v>
      </c>
      <c r="H137" s="11">
        <f t="shared" si="25"/>
        <v>0.62483999999999995</v>
      </c>
      <c r="I137" s="13">
        <f t="shared" si="27"/>
        <v>5.7135369599999999E-2</v>
      </c>
      <c r="J137" s="15">
        <f t="shared" si="26"/>
        <v>0.10668000000000001</v>
      </c>
      <c r="K137" s="74"/>
    </row>
    <row r="138" spans="2:11" x14ac:dyDescent="0.25">
      <c r="B138" s="72"/>
      <c r="C138" s="10">
        <v>5.5</v>
      </c>
      <c r="D138" s="6">
        <f t="shared" si="23"/>
        <v>4.25</v>
      </c>
      <c r="E138" s="6">
        <v>0.95</v>
      </c>
      <c r="F138" s="11">
        <f t="shared" si="24"/>
        <v>0.28955999999999998</v>
      </c>
      <c r="G138" s="26">
        <v>3.3</v>
      </c>
      <c r="H138" s="11">
        <f t="shared" si="25"/>
        <v>1.0058400000000001</v>
      </c>
      <c r="I138" s="25">
        <f t="shared" si="27"/>
        <v>0.1456255152</v>
      </c>
      <c r="J138" s="15">
        <f t="shared" si="26"/>
        <v>0.11810999999999999</v>
      </c>
      <c r="K138" s="74"/>
    </row>
    <row r="139" spans="2:11" x14ac:dyDescent="0.25">
      <c r="B139" s="72"/>
      <c r="C139" s="10">
        <v>6</v>
      </c>
      <c r="D139" s="6">
        <f t="shared" si="23"/>
        <v>4.75</v>
      </c>
      <c r="E139" s="6">
        <v>0.85</v>
      </c>
      <c r="F139" s="11">
        <f t="shared" si="24"/>
        <v>0.25908000000000003</v>
      </c>
      <c r="G139" s="6">
        <v>2.9</v>
      </c>
      <c r="H139" s="11">
        <f t="shared" si="25"/>
        <v>0.88392000000000004</v>
      </c>
      <c r="I139" s="25">
        <f t="shared" si="27"/>
        <v>0.11450299680000002</v>
      </c>
      <c r="J139" s="15">
        <f t="shared" si="26"/>
        <v>0.13716</v>
      </c>
      <c r="K139" s="74"/>
    </row>
    <row r="140" spans="2:11" x14ac:dyDescent="0.25">
      <c r="B140" s="72"/>
      <c r="C140" s="10">
        <v>6.5</v>
      </c>
      <c r="D140" s="6">
        <f t="shared" si="23"/>
        <v>5.25</v>
      </c>
      <c r="E140" s="6">
        <v>0.85</v>
      </c>
      <c r="F140" s="11">
        <f t="shared" si="24"/>
        <v>0.25908000000000003</v>
      </c>
      <c r="G140" s="6">
        <v>1.95</v>
      </c>
      <c r="H140" s="11">
        <f t="shared" si="25"/>
        <v>0.59436</v>
      </c>
      <c r="I140" s="13">
        <f t="shared" si="27"/>
        <v>7.6993394400000012E-2</v>
      </c>
      <c r="J140" s="15">
        <f t="shared" si="26"/>
        <v>0.12954000000000002</v>
      </c>
      <c r="K140" s="74"/>
    </row>
    <row r="141" spans="2:11" x14ac:dyDescent="0.25">
      <c r="B141" s="72"/>
      <c r="C141" s="10">
        <v>7</v>
      </c>
      <c r="D141" s="6">
        <f t="shared" si="23"/>
        <v>5.75</v>
      </c>
      <c r="E141" s="6">
        <v>0.8</v>
      </c>
      <c r="F141" s="11">
        <f t="shared" si="24"/>
        <v>0.24384000000000003</v>
      </c>
      <c r="G141" s="6">
        <v>3</v>
      </c>
      <c r="H141" s="11">
        <f t="shared" si="25"/>
        <v>0.9144000000000001</v>
      </c>
      <c r="I141" s="13">
        <f t="shared" si="27"/>
        <v>0.11148364800000003</v>
      </c>
      <c r="J141" s="15">
        <f t="shared" si="26"/>
        <v>0.12573000000000001</v>
      </c>
      <c r="K141" s="74"/>
    </row>
    <row r="142" spans="2:11" x14ac:dyDescent="0.25">
      <c r="B142" s="72"/>
      <c r="C142" s="10">
        <v>7.5</v>
      </c>
      <c r="D142" s="6">
        <f t="shared" si="23"/>
        <v>6.25</v>
      </c>
      <c r="E142" s="6">
        <v>0.7</v>
      </c>
      <c r="F142" s="11">
        <f t="shared" si="24"/>
        <v>0.21335999999999999</v>
      </c>
      <c r="G142" s="6">
        <v>2.1</v>
      </c>
      <c r="H142" s="11">
        <f t="shared" si="25"/>
        <v>0.64008000000000009</v>
      </c>
      <c r="I142" s="13">
        <f t="shared" si="27"/>
        <v>6.8283734400000004E-2</v>
      </c>
      <c r="J142" s="15">
        <f t="shared" si="26"/>
        <v>0.11430000000000001</v>
      </c>
      <c r="K142" s="74"/>
    </row>
    <row r="143" spans="2:11" x14ac:dyDescent="0.25">
      <c r="B143" s="72"/>
      <c r="C143" s="10">
        <v>8</v>
      </c>
      <c r="D143" s="6">
        <f t="shared" si="23"/>
        <v>6.75</v>
      </c>
      <c r="E143" s="6">
        <v>0.75</v>
      </c>
      <c r="F143" s="11">
        <f t="shared" si="24"/>
        <v>0.22860000000000003</v>
      </c>
      <c r="G143" s="6">
        <v>2.5</v>
      </c>
      <c r="H143" s="11">
        <f t="shared" si="25"/>
        <v>0.76200000000000001</v>
      </c>
      <c r="I143" s="13">
        <f t="shared" si="27"/>
        <v>8.709660000000001E-2</v>
      </c>
      <c r="J143" s="15">
        <f t="shared" si="26"/>
        <v>0.11049</v>
      </c>
      <c r="K143" s="74"/>
    </row>
    <row r="144" spans="2:11" x14ac:dyDescent="0.25">
      <c r="B144" s="72"/>
      <c r="C144" s="10">
        <v>8.5</v>
      </c>
      <c r="D144" s="6">
        <f t="shared" si="23"/>
        <v>7.25</v>
      </c>
      <c r="E144" s="6">
        <v>0.9</v>
      </c>
      <c r="F144" s="11">
        <f t="shared" si="24"/>
        <v>0.27432000000000001</v>
      </c>
      <c r="G144" s="6">
        <v>0.9</v>
      </c>
      <c r="H144" s="11">
        <f t="shared" si="25"/>
        <v>0.27432000000000001</v>
      </c>
      <c r="I144" s="13">
        <f t="shared" si="27"/>
        <v>3.7625731200000005E-2</v>
      </c>
      <c r="J144" s="15">
        <f t="shared" si="26"/>
        <v>0.12573000000000001</v>
      </c>
      <c r="K144" s="74"/>
    </row>
    <row r="145" spans="2:11" x14ac:dyDescent="0.25">
      <c r="B145" s="72"/>
      <c r="C145" s="10">
        <v>9</v>
      </c>
      <c r="D145" s="6">
        <f t="shared" si="23"/>
        <v>7.75</v>
      </c>
      <c r="E145" s="6">
        <v>0.5</v>
      </c>
      <c r="F145" s="11">
        <f t="shared" si="24"/>
        <v>0.15240000000000001</v>
      </c>
      <c r="G145" s="6">
        <v>0.3</v>
      </c>
      <c r="H145" s="11">
        <f t="shared" si="25"/>
        <v>9.1440000000000007E-2</v>
      </c>
      <c r="I145" s="13">
        <f t="shared" si="27"/>
        <v>6.9677280000000012E-3</v>
      </c>
      <c r="J145" s="15">
        <f t="shared" si="26"/>
        <v>0.10668</v>
      </c>
      <c r="K145" s="74"/>
    </row>
    <row r="146" spans="2:11" x14ac:dyDescent="0.25">
      <c r="B146" s="72"/>
      <c r="C146" s="10">
        <v>9.5</v>
      </c>
      <c r="D146" s="6">
        <f t="shared" si="23"/>
        <v>8.25</v>
      </c>
      <c r="E146" s="6">
        <v>0.2</v>
      </c>
      <c r="F146" s="11">
        <f t="shared" si="24"/>
        <v>6.0960000000000007E-2</v>
      </c>
      <c r="G146" s="6">
        <v>0.6</v>
      </c>
      <c r="H146" s="11">
        <f t="shared" si="25"/>
        <v>0.18288000000000001</v>
      </c>
      <c r="I146" s="13">
        <f>F146*H146*(((D146-D145)/2)+((D147-D146)))</f>
        <v>4.459345920000005E-3</v>
      </c>
      <c r="J146" s="15">
        <f t="shared" si="26"/>
        <v>5.3340000000000005E-2</v>
      </c>
      <c r="K146" s="74"/>
    </row>
    <row r="147" spans="2:11" x14ac:dyDescent="0.25">
      <c r="B147" s="72"/>
      <c r="C147" s="10">
        <v>9.65</v>
      </c>
      <c r="D147" s="6">
        <f t="shared" si="23"/>
        <v>8.4</v>
      </c>
      <c r="E147" s="6">
        <v>0</v>
      </c>
      <c r="F147" s="11">
        <f t="shared" si="24"/>
        <v>0</v>
      </c>
      <c r="G147" s="6">
        <v>0</v>
      </c>
      <c r="H147" s="11">
        <f t="shared" si="25"/>
        <v>0</v>
      </c>
      <c r="I147" s="13">
        <v>0</v>
      </c>
      <c r="J147" s="15">
        <f t="shared" si="26"/>
        <v>4.572000000000011E-3</v>
      </c>
      <c r="K147" s="74"/>
    </row>
    <row r="148" spans="2:11" x14ac:dyDescent="0.25">
      <c r="B148" s="72"/>
      <c r="C148" s="10"/>
      <c r="D148" s="16">
        <f>D147</f>
        <v>8.4</v>
      </c>
      <c r="E148" s="6"/>
      <c r="F148" s="6"/>
      <c r="G148" s="6"/>
      <c r="H148" s="6"/>
      <c r="I148" s="17">
        <f>SUM(I129:I147)</f>
        <v>1.0931668459199999</v>
      </c>
      <c r="J148" s="18">
        <f>SUM(J129:J147)</f>
        <v>1.6809719999999997</v>
      </c>
      <c r="K148" s="74"/>
    </row>
    <row r="149" spans="2:11" ht="15.6" x14ac:dyDescent="0.25">
      <c r="B149" s="72"/>
      <c r="C149" s="19"/>
      <c r="D149" s="20" t="s">
        <v>30</v>
      </c>
      <c r="E149" s="21"/>
      <c r="F149" s="21"/>
      <c r="G149" s="21"/>
      <c r="H149" s="21"/>
      <c r="I149" s="22" t="s">
        <v>34</v>
      </c>
      <c r="J149" s="23" t="s">
        <v>33</v>
      </c>
      <c r="K149" s="74"/>
    </row>
    <row r="150" spans="2:11" x14ac:dyDescent="0.25">
      <c r="B150" s="72"/>
      <c r="C150" s="6"/>
      <c r="D150" s="6"/>
      <c r="E150" s="6"/>
      <c r="F150" s="6"/>
      <c r="G150" s="6"/>
      <c r="H150" s="6"/>
      <c r="I150" s="7"/>
      <c r="J150" s="6"/>
      <c r="K150" s="74"/>
    </row>
    <row r="151" spans="2:11" x14ac:dyDescent="0.25">
      <c r="B151" s="72"/>
      <c r="C151" s="6"/>
      <c r="D151" s="6"/>
      <c r="E151" s="6"/>
      <c r="F151" s="6"/>
      <c r="G151" s="6"/>
      <c r="H151" s="6"/>
      <c r="I151" s="9"/>
      <c r="J151" s="6"/>
      <c r="K151" s="74"/>
    </row>
    <row r="152" spans="2:11" x14ac:dyDescent="0.25">
      <c r="B152" s="72"/>
      <c r="C152" s="33" t="s">
        <v>26</v>
      </c>
      <c r="D152" s="34" t="s">
        <v>12</v>
      </c>
      <c r="E152" s="34" t="s">
        <v>18</v>
      </c>
      <c r="F152" s="34"/>
      <c r="G152" s="34"/>
      <c r="H152" s="35" t="s">
        <v>35</v>
      </c>
      <c r="I152" s="34">
        <v>14</v>
      </c>
      <c r="J152" s="36"/>
      <c r="K152" s="74"/>
    </row>
    <row r="153" spans="2:11" x14ac:dyDescent="0.25">
      <c r="B153" s="72"/>
      <c r="C153" s="37" t="s">
        <v>23</v>
      </c>
      <c r="D153" s="38" t="s">
        <v>25</v>
      </c>
      <c r="E153" s="38" t="s">
        <v>29</v>
      </c>
      <c r="F153" s="38" t="s">
        <v>29</v>
      </c>
      <c r="G153" s="38" t="s">
        <v>27</v>
      </c>
      <c r="H153" s="38" t="s">
        <v>27</v>
      </c>
      <c r="I153" s="39" t="s">
        <v>31</v>
      </c>
      <c r="J153" s="40" t="s">
        <v>19</v>
      </c>
      <c r="K153" s="74"/>
    </row>
    <row r="154" spans="2:11" x14ac:dyDescent="0.25">
      <c r="B154" s="72"/>
      <c r="C154" s="41" t="s">
        <v>28</v>
      </c>
      <c r="D154" s="42" t="s">
        <v>24</v>
      </c>
      <c r="E154" s="42" t="s">
        <v>20</v>
      </c>
      <c r="F154" s="42" t="s">
        <v>21</v>
      </c>
      <c r="G154" s="42" t="s">
        <v>1</v>
      </c>
      <c r="H154" s="42" t="s">
        <v>3</v>
      </c>
      <c r="I154" s="42" t="s">
        <v>0</v>
      </c>
      <c r="J154" s="43" t="s">
        <v>7</v>
      </c>
      <c r="K154" s="74"/>
    </row>
    <row r="155" spans="2:11" x14ac:dyDescent="0.25">
      <c r="B155" s="72"/>
      <c r="C155" s="10">
        <v>1.55</v>
      </c>
      <c r="D155" s="6">
        <f t="shared" ref="D155:D172" si="28">C155-C$155</f>
        <v>0</v>
      </c>
      <c r="E155" s="6">
        <v>0</v>
      </c>
      <c r="F155" s="11">
        <f t="shared" ref="F155:F172" si="29">E155*0.3048</f>
        <v>0</v>
      </c>
      <c r="G155" s="6">
        <v>0</v>
      </c>
      <c r="H155" s="11">
        <f t="shared" ref="H155:H172" si="30">G155*0.3048</f>
        <v>0</v>
      </c>
      <c r="I155" s="13">
        <v>0</v>
      </c>
      <c r="J155" s="14"/>
      <c r="K155" s="74"/>
    </row>
    <row r="156" spans="2:11" x14ac:dyDescent="0.25">
      <c r="B156" s="72"/>
      <c r="C156" s="10">
        <v>2</v>
      </c>
      <c r="D156" s="6">
        <f t="shared" si="28"/>
        <v>0.44999999999999996</v>
      </c>
      <c r="E156" s="6">
        <v>0.15</v>
      </c>
      <c r="F156" s="11">
        <f t="shared" si="29"/>
        <v>4.5720000000000004E-2</v>
      </c>
      <c r="G156" s="6">
        <v>0.5</v>
      </c>
      <c r="H156" s="11">
        <f t="shared" si="30"/>
        <v>0.15240000000000001</v>
      </c>
      <c r="I156" s="13">
        <f>F156*H156*(((D156-D155))+((D157-D156)/2))</f>
        <v>4.8774096000000003E-3</v>
      </c>
      <c r="J156" s="15">
        <f t="shared" ref="J156:J172" si="31">(D156-D155)*((F155+F156)/2)</f>
        <v>1.0286999999999999E-2</v>
      </c>
      <c r="K156" s="74"/>
    </row>
    <row r="157" spans="2:11" x14ac:dyDescent="0.25">
      <c r="B157" s="72"/>
      <c r="C157" s="10">
        <v>2.5</v>
      </c>
      <c r="D157" s="6">
        <f t="shared" si="28"/>
        <v>0.95</v>
      </c>
      <c r="E157" s="6">
        <v>0.3</v>
      </c>
      <c r="F157" s="11">
        <f t="shared" si="29"/>
        <v>9.1440000000000007E-2</v>
      </c>
      <c r="G157" s="6">
        <v>0.95</v>
      </c>
      <c r="H157" s="11">
        <f t="shared" si="30"/>
        <v>0.28955999999999998</v>
      </c>
      <c r="I157" s="13">
        <f t="shared" ref="I157:I171" si="32">F157*H157*(((D157-D156)/2)+((D158-D157)/2))</f>
        <v>1.32386832E-2</v>
      </c>
      <c r="J157" s="15">
        <f t="shared" si="31"/>
        <v>3.4290000000000001E-2</v>
      </c>
      <c r="K157" s="74"/>
    </row>
    <row r="158" spans="2:11" x14ac:dyDescent="0.25">
      <c r="B158" s="72"/>
      <c r="C158" s="10">
        <v>3</v>
      </c>
      <c r="D158" s="6">
        <f t="shared" si="28"/>
        <v>1.45</v>
      </c>
      <c r="E158" s="6">
        <v>0.3</v>
      </c>
      <c r="F158" s="11">
        <f t="shared" si="29"/>
        <v>9.1440000000000007E-2</v>
      </c>
      <c r="G158" s="6">
        <v>0.8</v>
      </c>
      <c r="H158" s="11">
        <f t="shared" si="30"/>
        <v>0.24384000000000003</v>
      </c>
      <c r="I158" s="13">
        <f t="shared" si="32"/>
        <v>1.1148364800000003E-2</v>
      </c>
      <c r="J158" s="15">
        <f t="shared" si="31"/>
        <v>4.5720000000000004E-2</v>
      </c>
      <c r="K158" s="74"/>
    </row>
    <row r="159" spans="2:11" x14ac:dyDescent="0.25">
      <c r="B159" s="72"/>
      <c r="C159" s="10">
        <v>3.5</v>
      </c>
      <c r="D159" s="6">
        <f t="shared" si="28"/>
        <v>1.95</v>
      </c>
      <c r="E159" s="6">
        <v>0.45</v>
      </c>
      <c r="F159" s="11">
        <f t="shared" si="29"/>
        <v>0.13716</v>
      </c>
      <c r="G159" s="6">
        <v>2</v>
      </c>
      <c r="H159" s="11">
        <f t="shared" si="30"/>
        <v>0.60960000000000003</v>
      </c>
      <c r="I159" s="13">
        <f t="shared" si="32"/>
        <v>4.180636800000001E-2</v>
      </c>
      <c r="J159" s="15">
        <f t="shared" si="31"/>
        <v>5.7150000000000006E-2</v>
      </c>
      <c r="K159" s="74"/>
    </row>
    <row r="160" spans="2:11" x14ac:dyDescent="0.25">
      <c r="B160" s="72"/>
      <c r="C160" s="10">
        <v>4</v>
      </c>
      <c r="D160" s="6">
        <f t="shared" si="28"/>
        <v>2.4500000000000002</v>
      </c>
      <c r="E160" s="6">
        <v>0.75</v>
      </c>
      <c r="F160" s="11">
        <f t="shared" si="29"/>
        <v>0.22860000000000003</v>
      </c>
      <c r="G160" s="6">
        <v>1.3</v>
      </c>
      <c r="H160" s="11">
        <f t="shared" si="30"/>
        <v>0.39624000000000004</v>
      </c>
      <c r="I160" s="13">
        <f t="shared" si="32"/>
        <v>4.5290232000000014E-2</v>
      </c>
      <c r="J160" s="15">
        <f t="shared" si="31"/>
        <v>9.1440000000000049E-2</v>
      </c>
      <c r="K160" s="74"/>
    </row>
    <row r="161" spans="2:11" x14ac:dyDescent="0.25">
      <c r="B161" s="72"/>
      <c r="C161" s="10">
        <v>4.5</v>
      </c>
      <c r="D161" s="6">
        <f t="shared" si="28"/>
        <v>2.95</v>
      </c>
      <c r="E161" s="6">
        <v>0.7</v>
      </c>
      <c r="F161" s="11">
        <f t="shared" si="29"/>
        <v>0.21335999999999999</v>
      </c>
      <c r="G161" s="6">
        <v>2.65</v>
      </c>
      <c r="H161" s="11">
        <f t="shared" si="30"/>
        <v>0.80771999999999999</v>
      </c>
      <c r="I161" s="13">
        <f t="shared" si="32"/>
        <v>8.6167569599999994E-2</v>
      </c>
      <c r="J161" s="15">
        <f t="shared" si="31"/>
        <v>0.11049</v>
      </c>
      <c r="K161" s="74"/>
    </row>
    <row r="162" spans="2:11" x14ac:dyDescent="0.25">
      <c r="B162" s="72"/>
      <c r="C162" s="10">
        <v>5</v>
      </c>
      <c r="D162" s="6">
        <f t="shared" si="28"/>
        <v>3.45</v>
      </c>
      <c r="E162" s="6">
        <v>0.55000000000000004</v>
      </c>
      <c r="F162" s="11">
        <f t="shared" si="29"/>
        <v>0.16764000000000001</v>
      </c>
      <c r="G162" s="6">
        <v>2.5499999999999998</v>
      </c>
      <c r="H162" s="11">
        <f t="shared" si="30"/>
        <v>0.77723999999999993</v>
      </c>
      <c r="I162" s="13">
        <f t="shared" si="32"/>
        <v>6.5148256799999998E-2</v>
      </c>
      <c r="J162" s="15">
        <f t="shared" si="31"/>
        <v>9.5250000000000001E-2</v>
      </c>
      <c r="K162" s="74"/>
    </row>
    <row r="163" spans="2:11" x14ac:dyDescent="0.25">
      <c r="B163" s="72"/>
      <c r="C163" s="10">
        <v>5.5</v>
      </c>
      <c r="D163" s="6">
        <f t="shared" si="28"/>
        <v>3.95</v>
      </c>
      <c r="E163" s="6">
        <v>0.7</v>
      </c>
      <c r="F163" s="11">
        <f t="shared" si="29"/>
        <v>0.21335999999999999</v>
      </c>
      <c r="G163" s="6">
        <v>1.9</v>
      </c>
      <c r="H163" s="11">
        <f t="shared" si="30"/>
        <v>0.57911999999999997</v>
      </c>
      <c r="I163" s="13">
        <f t="shared" si="32"/>
        <v>6.1780521599999992E-2</v>
      </c>
      <c r="J163" s="15">
        <f t="shared" si="31"/>
        <v>9.5250000000000001E-2</v>
      </c>
      <c r="K163" s="74"/>
    </row>
    <row r="164" spans="2:11" x14ac:dyDescent="0.25">
      <c r="B164" s="72"/>
      <c r="C164" s="10">
        <v>6</v>
      </c>
      <c r="D164" s="6">
        <f t="shared" si="28"/>
        <v>4.45</v>
      </c>
      <c r="E164" s="6">
        <v>0.8</v>
      </c>
      <c r="F164" s="11">
        <f t="shared" si="29"/>
        <v>0.24384000000000003</v>
      </c>
      <c r="G164" s="6">
        <v>2.65</v>
      </c>
      <c r="H164" s="27">
        <f t="shared" si="30"/>
        <v>0.80771999999999999</v>
      </c>
      <c r="I164" s="25">
        <f t="shared" si="32"/>
        <v>9.8477222400000008E-2</v>
      </c>
      <c r="J164" s="15">
        <f t="shared" si="31"/>
        <v>0.11430000000000001</v>
      </c>
      <c r="K164" s="74"/>
    </row>
    <row r="165" spans="2:11" x14ac:dyDescent="0.25">
      <c r="B165" s="72"/>
      <c r="C165" s="10">
        <v>6.5</v>
      </c>
      <c r="D165" s="6">
        <f t="shared" si="28"/>
        <v>4.95</v>
      </c>
      <c r="E165" s="6">
        <v>0.7</v>
      </c>
      <c r="F165" s="11">
        <f t="shared" si="29"/>
        <v>0.21335999999999999</v>
      </c>
      <c r="G165" s="6">
        <v>2.35</v>
      </c>
      <c r="H165" s="27">
        <f t="shared" si="30"/>
        <v>0.71628000000000003</v>
      </c>
      <c r="I165" s="25">
        <f t="shared" si="32"/>
        <v>7.6412750400000007E-2</v>
      </c>
      <c r="J165" s="15">
        <f t="shared" si="31"/>
        <v>0.11430000000000001</v>
      </c>
      <c r="K165" s="74"/>
    </row>
    <row r="166" spans="2:11" x14ac:dyDescent="0.25">
      <c r="B166" s="72"/>
      <c r="C166" s="10">
        <v>7</v>
      </c>
      <c r="D166" s="6">
        <f t="shared" si="28"/>
        <v>5.45</v>
      </c>
      <c r="E166" s="6">
        <v>0.6</v>
      </c>
      <c r="F166" s="11">
        <f t="shared" si="29"/>
        <v>0.18288000000000001</v>
      </c>
      <c r="G166" s="6">
        <v>2.6</v>
      </c>
      <c r="H166" s="11">
        <f t="shared" si="30"/>
        <v>0.79248000000000007</v>
      </c>
      <c r="I166" s="13">
        <f t="shared" si="32"/>
        <v>7.2464371200000016E-2</v>
      </c>
      <c r="J166" s="15">
        <f t="shared" si="31"/>
        <v>9.9060000000000009E-2</v>
      </c>
      <c r="K166" s="74"/>
    </row>
    <row r="167" spans="2:11" x14ac:dyDescent="0.25">
      <c r="B167" s="72"/>
      <c r="C167" s="10">
        <v>7.5</v>
      </c>
      <c r="D167" s="6">
        <f t="shared" si="28"/>
        <v>5.95</v>
      </c>
      <c r="E167" s="6">
        <v>0.6</v>
      </c>
      <c r="F167" s="11">
        <f t="shared" si="29"/>
        <v>0.18288000000000001</v>
      </c>
      <c r="G167" s="6">
        <v>1.7</v>
      </c>
      <c r="H167" s="11">
        <f t="shared" si="30"/>
        <v>0.51816000000000006</v>
      </c>
      <c r="I167" s="13">
        <f t="shared" si="32"/>
        <v>4.7380550400000013E-2</v>
      </c>
      <c r="J167" s="15">
        <f t="shared" si="31"/>
        <v>9.1440000000000007E-2</v>
      </c>
      <c r="K167" s="74"/>
    </row>
    <row r="168" spans="2:11" x14ac:dyDescent="0.25">
      <c r="B168" s="72"/>
      <c r="C168" s="10">
        <v>8</v>
      </c>
      <c r="D168" s="6">
        <f t="shared" si="28"/>
        <v>6.45</v>
      </c>
      <c r="E168" s="6">
        <v>0.6</v>
      </c>
      <c r="F168" s="11">
        <f t="shared" si="29"/>
        <v>0.18288000000000001</v>
      </c>
      <c r="G168" s="6">
        <v>1.45</v>
      </c>
      <c r="H168" s="11">
        <f t="shared" si="30"/>
        <v>0.44196000000000002</v>
      </c>
      <c r="I168" s="13">
        <f t="shared" si="32"/>
        <v>4.0412822400000006E-2</v>
      </c>
      <c r="J168" s="15">
        <f t="shared" si="31"/>
        <v>9.1440000000000007E-2</v>
      </c>
      <c r="K168" s="74"/>
    </row>
    <row r="169" spans="2:11" x14ac:dyDescent="0.25">
      <c r="B169" s="72"/>
      <c r="C169" s="10">
        <v>8.5</v>
      </c>
      <c r="D169" s="6">
        <f t="shared" si="28"/>
        <v>6.95</v>
      </c>
      <c r="E169" s="6">
        <v>0.6</v>
      </c>
      <c r="F169" s="11">
        <f t="shared" si="29"/>
        <v>0.18288000000000001</v>
      </c>
      <c r="G169" s="6">
        <v>1.05</v>
      </c>
      <c r="H169" s="11">
        <f t="shared" si="30"/>
        <v>0.32004000000000005</v>
      </c>
      <c r="I169" s="13">
        <f t="shared" si="32"/>
        <v>2.9264457600000005E-2</v>
      </c>
      <c r="J169" s="15">
        <f t="shared" si="31"/>
        <v>9.1440000000000007E-2</v>
      </c>
      <c r="K169" s="74"/>
    </row>
    <row r="170" spans="2:11" x14ac:dyDescent="0.25">
      <c r="B170" s="72"/>
      <c r="C170" s="10">
        <v>9</v>
      </c>
      <c r="D170" s="6">
        <f t="shared" si="28"/>
        <v>7.45</v>
      </c>
      <c r="E170" s="6">
        <v>0.5</v>
      </c>
      <c r="F170" s="11">
        <f t="shared" si="29"/>
        <v>0.15240000000000001</v>
      </c>
      <c r="G170" s="6">
        <v>0.5</v>
      </c>
      <c r="H170" s="11">
        <f t="shared" si="30"/>
        <v>0.15240000000000001</v>
      </c>
      <c r="I170" s="13">
        <f t="shared" si="32"/>
        <v>1.1612880000000001E-2</v>
      </c>
      <c r="J170" s="15">
        <f t="shared" si="31"/>
        <v>8.3820000000000006E-2</v>
      </c>
      <c r="K170" s="74"/>
    </row>
    <row r="171" spans="2:11" x14ac:dyDescent="0.25">
      <c r="B171" s="72"/>
      <c r="C171" s="10">
        <v>9.5</v>
      </c>
      <c r="D171" s="6">
        <f t="shared" si="28"/>
        <v>7.95</v>
      </c>
      <c r="E171" s="6">
        <v>0.3</v>
      </c>
      <c r="F171" s="11">
        <f t="shared" si="29"/>
        <v>9.1440000000000007E-2</v>
      </c>
      <c r="G171" s="6">
        <v>0.1</v>
      </c>
      <c r="H171" s="11">
        <f t="shared" si="30"/>
        <v>3.0480000000000004E-2</v>
      </c>
      <c r="I171" s="13">
        <f t="shared" si="32"/>
        <v>1.2541910399999996E-3</v>
      </c>
      <c r="J171" s="15">
        <f t="shared" si="31"/>
        <v>6.096E-2</v>
      </c>
      <c r="K171" s="74"/>
    </row>
    <row r="172" spans="2:11" x14ac:dyDescent="0.25">
      <c r="B172" s="72"/>
      <c r="C172" s="10">
        <v>9.9</v>
      </c>
      <c r="D172" s="6">
        <f t="shared" si="28"/>
        <v>8.35</v>
      </c>
      <c r="E172" s="6">
        <v>0</v>
      </c>
      <c r="F172" s="11">
        <f t="shared" si="29"/>
        <v>0</v>
      </c>
      <c r="G172" s="6">
        <v>0</v>
      </c>
      <c r="H172" s="11">
        <f t="shared" si="30"/>
        <v>0</v>
      </c>
      <c r="I172" s="13">
        <f>F172*H172*(((D172-D171)/2)+((D173-D172)))</f>
        <v>0</v>
      </c>
      <c r="J172" s="15">
        <f t="shared" si="31"/>
        <v>1.8287999999999978E-2</v>
      </c>
      <c r="K172" s="74"/>
    </row>
    <row r="173" spans="2:11" x14ac:dyDescent="0.25">
      <c r="B173" s="72"/>
      <c r="C173" s="10"/>
      <c r="D173" s="16">
        <f>D172</f>
        <v>8.35</v>
      </c>
      <c r="E173" s="6"/>
      <c r="F173" s="11"/>
      <c r="G173" s="6"/>
      <c r="H173" s="11"/>
      <c r="I173" s="17">
        <f>SUM(I155:I172)</f>
        <v>0.70673665104000005</v>
      </c>
      <c r="J173" s="18">
        <f>SUM(J155:J172)</f>
        <v>1.3049250000000001</v>
      </c>
      <c r="K173" s="74"/>
    </row>
    <row r="174" spans="2:11" ht="15.6" x14ac:dyDescent="0.25">
      <c r="B174" s="72"/>
      <c r="C174" s="19"/>
      <c r="D174" s="20" t="s">
        <v>30</v>
      </c>
      <c r="E174" s="21"/>
      <c r="F174" s="21"/>
      <c r="G174" s="21"/>
      <c r="H174" s="21"/>
      <c r="I174" s="22" t="s">
        <v>34</v>
      </c>
      <c r="J174" s="23" t="s">
        <v>33</v>
      </c>
      <c r="K174" s="74"/>
    </row>
    <row r="175" spans="2:11" x14ac:dyDescent="0.25">
      <c r="B175" s="72"/>
      <c r="C175" s="6"/>
      <c r="D175" s="6"/>
      <c r="E175" s="6"/>
      <c r="F175" s="6"/>
      <c r="G175" s="6"/>
      <c r="H175" s="6"/>
      <c r="I175" s="6"/>
      <c r="J175" s="6"/>
      <c r="K175" s="74"/>
    </row>
    <row r="176" spans="2:11" x14ac:dyDescent="0.25">
      <c r="B176" s="72"/>
      <c r="C176" s="6"/>
      <c r="D176" s="6"/>
      <c r="E176" s="6"/>
      <c r="F176" s="6"/>
      <c r="G176" s="6"/>
      <c r="H176" s="6"/>
      <c r="I176" s="7"/>
      <c r="J176" s="6"/>
      <c r="K176" s="74"/>
    </row>
    <row r="177" spans="2:11" x14ac:dyDescent="0.25">
      <c r="B177" s="72"/>
      <c r="C177" s="48" t="s">
        <v>26</v>
      </c>
      <c r="D177" s="49" t="s">
        <v>13</v>
      </c>
      <c r="E177" s="49" t="s">
        <v>6</v>
      </c>
      <c r="F177" s="49"/>
      <c r="G177" s="49"/>
      <c r="H177" s="50" t="s">
        <v>35</v>
      </c>
      <c r="I177" s="49">
        <v>21</v>
      </c>
      <c r="J177" s="49"/>
      <c r="K177" s="77"/>
    </row>
    <row r="178" spans="2:11" x14ac:dyDescent="0.25">
      <c r="B178" s="72"/>
      <c r="C178" s="48" t="s">
        <v>23</v>
      </c>
      <c r="D178" s="49" t="s">
        <v>25</v>
      </c>
      <c r="E178" s="49" t="s">
        <v>29</v>
      </c>
      <c r="F178" s="49" t="s">
        <v>29</v>
      </c>
      <c r="G178" s="49" t="s">
        <v>27</v>
      </c>
      <c r="H178" s="49" t="s">
        <v>27</v>
      </c>
      <c r="I178" s="46" t="s">
        <v>31</v>
      </c>
      <c r="J178" s="46" t="s">
        <v>19</v>
      </c>
      <c r="K178" s="77" t="s">
        <v>23</v>
      </c>
    </row>
    <row r="179" spans="2:11" x14ac:dyDescent="0.25">
      <c r="B179" s="72"/>
      <c r="C179" s="51" t="s">
        <v>28</v>
      </c>
      <c r="D179" s="47" t="s">
        <v>24</v>
      </c>
      <c r="E179" s="47" t="s">
        <v>20</v>
      </c>
      <c r="F179" s="47" t="s">
        <v>21</v>
      </c>
      <c r="G179" s="47" t="s">
        <v>1</v>
      </c>
      <c r="H179" s="47" t="s">
        <v>3</v>
      </c>
      <c r="I179" s="47" t="s">
        <v>0</v>
      </c>
      <c r="J179" s="47" t="s">
        <v>7</v>
      </c>
      <c r="K179" s="78" t="s">
        <v>36</v>
      </c>
    </row>
    <row r="180" spans="2:11" x14ac:dyDescent="0.25">
      <c r="B180" s="72"/>
      <c r="C180" s="28">
        <f>K180*0.3048</f>
        <v>1.1277600000000001</v>
      </c>
      <c r="D180" s="11">
        <f>C180-C$180</f>
        <v>0</v>
      </c>
      <c r="E180" s="6">
        <v>0</v>
      </c>
      <c r="F180" s="11">
        <f t="shared" ref="F180:F198" si="33">E180*0.3048</f>
        <v>0</v>
      </c>
      <c r="G180" s="6">
        <v>0</v>
      </c>
      <c r="H180" s="11">
        <f t="shared" ref="H180:H199" si="34">G180*0.3048</f>
        <v>0</v>
      </c>
      <c r="I180" s="13">
        <v>0</v>
      </c>
      <c r="J180" s="6"/>
      <c r="K180" s="79">
        <v>3.7</v>
      </c>
    </row>
    <row r="181" spans="2:11" x14ac:dyDescent="0.25">
      <c r="B181" s="72"/>
      <c r="C181" s="28">
        <f t="shared" ref="C181:C199" si="35">K181*0.3048</f>
        <v>1.524</v>
      </c>
      <c r="D181" s="11">
        <f t="shared" ref="D181:D199" si="36">C181-C$180</f>
        <v>0.39623999999999993</v>
      </c>
      <c r="E181" s="6">
        <v>0.45</v>
      </c>
      <c r="F181" s="11">
        <f t="shared" si="33"/>
        <v>0.13716</v>
      </c>
      <c r="G181" s="11">
        <v>2.1</v>
      </c>
      <c r="H181" s="11">
        <f t="shared" si="34"/>
        <v>0.64008000000000009</v>
      </c>
      <c r="I181" s="13">
        <f>F181*H181*(((D181-D180))+((D182-D181)/2))</f>
        <v>5.4856811060352006E-2</v>
      </c>
      <c r="J181" s="13">
        <f t="shared" ref="J181:J199" si="37">(D181-D180)*((F180+F181)/2)</f>
        <v>2.7174139199999996E-2</v>
      </c>
      <c r="K181" s="79">
        <v>5</v>
      </c>
    </row>
    <row r="182" spans="2:11" x14ac:dyDescent="0.25">
      <c r="B182" s="72"/>
      <c r="C182" s="28">
        <f t="shared" si="35"/>
        <v>1.9812000000000001</v>
      </c>
      <c r="D182" s="11">
        <f t="shared" si="36"/>
        <v>0.85343999999999998</v>
      </c>
      <c r="E182" s="6">
        <v>0.45</v>
      </c>
      <c r="F182" s="11">
        <f t="shared" si="33"/>
        <v>0.13716</v>
      </c>
      <c r="G182" s="11">
        <v>2.5</v>
      </c>
      <c r="H182" s="11">
        <f t="shared" si="34"/>
        <v>0.76200000000000001</v>
      </c>
      <c r="I182" s="13">
        <f t="shared" ref="I182:I197" si="38">F182*H182*(((D182-D181)/2)+((D183-D182)/2))</f>
        <v>4.7784678624000002E-2</v>
      </c>
      <c r="J182" s="13">
        <f t="shared" si="37"/>
        <v>6.2709552000000016E-2</v>
      </c>
      <c r="K182" s="79">
        <v>6.5</v>
      </c>
    </row>
    <row r="183" spans="2:11" x14ac:dyDescent="0.25">
      <c r="B183" s="72"/>
      <c r="C183" s="28">
        <f t="shared" si="35"/>
        <v>2.4384000000000001</v>
      </c>
      <c r="D183" s="11">
        <f t="shared" si="36"/>
        <v>1.31064</v>
      </c>
      <c r="E183" s="6">
        <v>0.6</v>
      </c>
      <c r="F183" s="11">
        <f t="shared" si="33"/>
        <v>0.18288000000000001</v>
      </c>
      <c r="G183" s="11">
        <v>2.1</v>
      </c>
      <c r="H183" s="11">
        <f t="shared" si="34"/>
        <v>0.64008000000000009</v>
      </c>
      <c r="I183" s="13">
        <f t="shared" si="38"/>
        <v>5.3518840058880003E-2</v>
      </c>
      <c r="J183" s="13">
        <f t="shared" si="37"/>
        <v>7.3161144000000011E-2</v>
      </c>
      <c r="K183" s="79">
        <v>8</v>
      </c>
    </row>
    <row r="184" spans="2:11" x14ac:dyDescent="0.25">
      <c r="B184" s="72"/>
      <c r="C184" s="28">
        <f t="shared" si="35"/>
        <v>2.8956</v>
      </c>
      <c r="D184" s="11">
        <f t="shared" si="36"/>
        <v>1.7678399999999999</v>
      </c>
      <c r="E184" s="6">
        <v>0.6</v>
      </c>
      <c r="F184" s="11">
        <f t="shared" si="33"/>
        <v>0.18288000000000001</v>
      </c>
      <c r="G184" s="11">
        <v>3.2</v>
      </c>
      <c r="H184" s="11">
        <f t="shared" si="34"/>
        <v>0.97536000000000012</v>
      </c>
      <c r="I184" s="13">
        <f t="shared" si="38"/>
        <v>8.155251818496001E-2</v>
      </c>
      <c r="J184" s="13">
        <f t="shared" si="37"/>
        <v>8.3612735999999979E-2</v>
      </c>
      <c r="K184" s="79">
        <v>9.5</v>
      </c>
    </row>
    <row r="185" spans="2:11" x14ac:dyDescent="0.25">
      <c r="B185" s="72"/>
      <c r="C185" s="28">
        <f t="shared" si="35"/>
        <v>3.3528000000000002</v>
      </c>
      <c r="D185" s="11">
        <f t="shared" si="36"/>
        <v>2.2250399999999999</v>
      </c>
      <c r="E185" s="6">
        <v>0.95</v>
      </c>
      <c r="F185" s="11">
        <f t="shared" si="33"/>
        <v>0.28955999999999998</v>
      </c>
      <c r="G185" s="11">
        <v>2.5</v>
      </c>
      <c r="H185" s="11">
        <f t="shared" si="34"/>
        <v>0.76200000000000001</v>
      </c>
      <c r="I185" s="13">
        <f t="shared" si="38"/>
        <v>0.10087876598400003</v>
      </c>
      <c r="J185" s="13">
        <f t="shared" si="37"/>
        <v>0.107999784</v>
      </c>
      <c r="K185" s="79">
        <v>11</v>
      </c>
    </row>
    <row r="186" spans="2:11" x14ac:dyDescent="0.25">
      <c r="B186" s="72"/>
      <c r="C186" s="28">
        <f t="shared" si="35"/>
        <v>3.81</v>
      </c>
      <c r="D186" s="11">
        <f t="shared" si="36"/>
        <v>2.6822400000000002</v>
      </c>
      <c r="E186" s="6">
        <v>0.9</v>
      </c>
      <c r="F186" s="11">
        <f t="shared" si="33"/>
        <v>0.27432000000000001</v>
      </c>
      <c r="G186" s="11">
        <v>1.45</v>
      </c>
      <c r="H186" s="11">
        <f t="shared" si="34"/>
        <v>0.44196000000000002</v>
      </c>
      <c r="I186" s="13">
        <f t="shared" si="38"/>
        <v>5.5430227203839978E-2</v>
      </c>
      <c r="J186" s="13">
        <f t="shared" si="37"/>
        <v>0.12890296800000006</v>
      </c>
      <c r="K186" s="79">
        <v>12.5</v>
      </c>
    </row>
    <row r="187" spans="2:11" x14ac:dyDescent="0.25">
      <c r="B187" s="72"/>
      <c r="C187" s="28">
        <f t="shared" si="35"/>
        <v>4.2671999999999999</v>
      </c>
      <c r="D187" s="11">
        <f t="shared" si="36"/>
        <v>3.1394399999999996</v>
      </c>
      <c r="E187" s="6">
        <v>0.85</v>
      </c>
      <c r="F187" s="11">
        <f t="shared" si="33"/>
        <v>0.25908000000000003</v>
      </c>
      <c r="G187" s="11">
        <v>3.3</v>
      </c>
      <c r="H187" s="11">
        <f t="shared" si="34"/>
        <v>1.0058400000000001</v>
      </c>
      <c r="I187" s="13">
        <f t="shared" si="38"/>
        <v>0.11914313203583998</v>
      </c>
      <c r="J187" s="13">
        <f t="shared" si="37"/>
        <v>0.12193523999999986</v>
      </c>
      <c r="K187" s="79">
        <v>14</v>
      </c>
    </row>
    <row r="188" spans="2:11" x14ac:dyDescent="0.25">
      <c r="B188" s="72"/>
      <c r="C188" s="28">
        <f t="shared" si="35"/>
        <v>4.7244000000000002</v>
      </c>
      <c r="D188" s="11">
        <f t="shared" si="36"/>
        <v>3.5966399999999998</v>
      </c>
      <c r="E188" s="6">
        <v>0.85</v>
      </c>
      <c r="F188" s="11">
        <f t="shared" si="33"/>
        <v>0.25908000000000003</v>
      </c>
      <c r="G188" s="11">
        <v>3.7</v>
      </c>
      <c r="H188" s="11">
        <f t="shared" si="34"/>
        <v>1.1277600000000001</v>
      </c>
      <c r="I188" s="13">
        <f t="shared" si="38"/>
        <v>0.13358472379776012</v>
      </c>
      <c r="J188" s="13">
        <f t="shared" si="37"/>
        <v>0.11845137600000008</v>
      </c>
      <c r="K188" s="79">
        <v>15.5</v>
      </c>
    </row>
    <row r="189" spans="2:11" x14ac:dyDescent="0.25">
      <c r="B189" s="72"/>
      <c r="C189" s="28">
        <f t="shared" si="35"/>
        <v>5.1816000000000004</v>
      </c>
      <c r="D189" s="11">
        <f t="shared" si="36"/>
        <v>4.0538400000000001</v>
      </c>
      <c r="E189" s="6">
        <v>0.95</v>
      </c>
      <c r="F189" s="11">
        <f t="shared" si="33"/>
        <v>0.28955999999999998</v>
      </c>
      <c r="G189" s="11">
        <v>3.2</v>
      </c>
      <c r="H189" s="27">
        <f t="shared" si="34"/>
        <v>0.97536000000000012</v>
      </c>
      <c r="I189" s="25">
        <f t="shared" si="38"/>
        <v>0.12912482045952009</v>
      </c>
      <c r="J189" s="13">
        <f t="shared" si="37"/>
        <v>0.12541910400000009</v>
      </c>
      <c r="K189" s="79">
        <v>17</v>
      </c>
    </row>
    <row r="190" spans="2:11" x14ac:dyDescent="0.25">
      <c r="B190" s="72"/>
      <c r="C190" s="28">
        <f t="shared" si="35"/>
        <v>5.6388000000000007</v>
      </c>
      <c r="D190" s="11">
        <f t="shared" si="36"/>
        <v>4.5110400000000004</v>
      </c>
      <c r="E190" s="6">
        <v>1</v>
      </c>
      <c r="F190" s="11">
        <f t="shared" si="33"/>
        <v>0.30480000000000002</v>
      </c>
      <c r="G190" s="11">
        <v>4.0999999999999996</v>
      </c>
      <c r="H190" s="27">
        <f t="shared" si="34"/>
        <v>1.2496799999999999</v>
      </c>
      <c r="I190" s="25">
        <f t="shared" si="38"/>
        <v>0.17414860654079994</v>
      </c>
      <c r="J190" s="13">
        <f t="shared" si="37"/>
        <v>0.13587069600000007</v>
      </c>
      <c r="K190" s="79">
        <v>18.5</v>
      </c>
    </row>
    <row r="191" spans="2:11" x14ac:dyDescent="0.25">
      <c r="B191" s="72"/>
      <c r="C191" s="28">
        <f t="shared" si="35"/>
        <v>6.0960000000000001</v>
      </c>
      <c r="D191" s="11">
        <f t="shared" si="36"/>
        <v>4.9682399999999998</v>
      </c>
      <c r="E191" s="6">
        <v>0.95</v>
      </c>
      <c r="F191" s="11">
        <f t="shared" si="33"/>
        <v>0.28955999999999998</v>
      </c>
      <c r="G191" s="11">
        <v>2.6</v>
      </c>
      <c r="H191" s="11">
        <f t="shared" si="34"/>
        <v>0.79248000000000007</v>
      </c>
      <c r="I191" s="13">
        <f t="shared" si="38"/>
        <v>0.10491391662335996</v>
      </c>
      <c r="J191" s="13">
        <f t="shared" si="37"/>
        <v>0.13587069599999982</v>
      </c>
      <c r="K191" s="79">
        <v>20</v>
      </c>
    </row>
    <row r="192" spans="2:11" x14ac:dyDescent="0.25">
      <c r="B192" s="72"/>
      <c r="C192" s="28">
        <f t="shared" si="35"/>
        <v>6.5532000000000004</v>
      </c>
      <c r="D192" s="11">
        <f t="shared" si="36"/>
        <v>5.42544</v>
      </c>
      <c r="E192" s="6">
        <v>0.9</v>
      </c>
      <c r="F192" s="11">
        <f t="shared" si="33"/>
        <v>0.27432000000000001</v>
      </c>
      <c r="G192" s="11">
        <v>3</v>
      </c>
      <c r="H192" s="11">
        <f t="shared" si="34"/>
        <v>0.9144000000000001</v>
      </c>
      <c r="I192" s="13">
        <f t="shared" si="38"/>
        <v>0.1146832286976001</v>
      </c>
      <c r="J192" s="13">
        <f t="shared" si="37"/>
        <v>0.12890296800000006</v>
      </c>
      <c r="K192" s="79">
        <v>21.5</v>
      </c>
    </row>
    <row r="193" spans="2:11" x14ac:dyDescent="0.25">
      <c r="B193" s="72"/>
      <c r="C193" s="28">
        <f t="shared" si="35"/>
        <v>7.0104000000000006</v>
      </c>
      <c r="D193" s="11">
        <f t="shared" si="36"/>
        <v>5.8826400000000003</v>
      </c>
      <c r="E193" s="6">
        <v>0.9</v>
      </c>
      <c r="F193" s="11">
        <f t="shared" si="33"/>
        <v>0.27432000000000001</v>
      </c>
      <c r="G193" s="11">
        <v>3</v>
      </c>
      <c r="H193" s="11">
        <f t="shared" si="34"/>
        <v>0.9144000000000001</v>
      </c>
      <c r="I193" s="13">
        <f t="shared" si="38"/>
        <v>0.11468322869759999</v>
      </c>
      <c r="J193" s="13">
        <f t="shared" si="37"/>
        <v>0.12541910400000009</v>
      </c>
      <c r="K193" s="79">
        <v>23</v>
      </c>
    </row>
    <row r="194" spans="2:11" x14ac:dyDescent="0.25">
      <c r="B194" s="72"/>
      <c r="C194" s="28">
        <f t="shared" si="35"/>
        <v>7.4676</v>
      </c>
      <c r="D194" s="11">
        <f t="shared" si="36"/>
        <v>6.3398399999999997</v>
      </c>
      <c r="E194" s="6">
        <v>0.8</v>
      </c>
      <c r="F194" s="11">
        <f t="shared" si="33"/>
        <v>0.24384000000000003</v>
      </c>
      <c r="G194" s="11">
        <v>2.7</v>
      </c>
      <c r="H194" s="11">
        <f t="shared" si="34"/>
        <v>0.82296000000000014</v>
      </c>
      <c r="I194" s="13">
        <f t="shared" si="38"/>
        <v>9.1746582958079997E-2</v>
      </c>
      <c r="J194" s="13">
        <f t="shared" si="37"/>
        <v>0.11845137599999986</v>
      </c>
      <c r="K194" s="79">
        <v>24.5</v>
      </c>
    </row>
    <row r="195" spans="2:11" x14ac:dyDescent="0.25">
      <c r="B195" s="72"/>
      <c r="C195" s="28">
        <f t="shared" si="35"/>
        <v>7.9248000000000003</v>
      </c>
      <c r="D195" s="11">
        <f t="shared" si="36"/>
        <v>6.79704</v>
      </c>
      <c r="E195" s="6">
        <v>0.9</v>
      </c>
      <c r="F195" s="11">
        <f t="shared" si="33"/>
        <v>0.27432000000000001</v>
      </c>
      <c r="G195" s="11">
        <v>2.7</v>
      </c>
      <c r="H195" s="11">
        <f t="shared" si="34"/>
        <v>0.82296000000000014</v>
      </c>
      <c r="I195" s="13">
        <f t="shared" si="38"/>
        <v>0.10321490582783999</v>
      </c>
      <c r="J195" s="13">
        <f t="shared" si="37"/>
        <v>0.11845137600000008</v>
      </c>
      <c r="K195" s="79">
        <v>26</v>
      </c>
    </row>
    <row r="196" spans="2:11" x14ac:dyDescent="0.25">
      <c r="B196" s="72"/>
      <c r="C196" s="28">
        <f t="shared" si="35"/>
        <v>8.3819999999999997</v>
      </c>
      <c r="D196" s="11">
        <f t="shared" si="36"/>
        <v>7.2542399999999994</v>
      </c>
      <c r="E196" s="6">
        <v>0.95</v>
      </c>
      <c r="F196" s="11">
        <f t="shared" si="33"/>
        <v>0.28955999999999998</v>
      </c>
      <c r="G196" s="11">
        <v>1.1499999999999999</v>
      </c>
      <c r="H196" s="11">
        <f t="shared" si="34"/>
        <v>0.35052</v>
      </c>
      <c r="I196" s="13">
        <f t="shared" si="38"/>
        <v>4.6404232352639983E-2</v>
      </c>
      <c r="J196" s="13">
        <f t="shared" si="37"/>
        <v>0.12890296799999981</v>
      </c>
      <c r="K196" s="79">
        <v>27.5</v>
      </c>
    </row>
    <row r="197" spans="2:11" x14ac:dyDescent="0.25">
      <c r="B197" s="72"/>
      <c r="C197" s="28">
        <f t="shared" si="35"/>
        <v>8.8391999999999999</v>
      </c>
      <c r="D197" s="11">
        <f t="shared" si="36"/>
        <v>7.7114399999999996</v>
      </c>
      <c r="E197" s="6">
        <v>0.55000000000000004</v>
      </c>
      <c r="F197" s="11">
        <f t="shared" si="33"/>
        <v>0.16764000000000001</v>
      </c>
      <c r="G197" s="11">
        <v>0.25</v>
      </c>
      <c r="H197" s="11">
        <f t="shared" si="34"/>
        <v>7.6200000000000004E-2</v>
      </c>
      <c r="I197" s="13">
        <f t="shared" si="38"/>
        <v>5.840349609600004E-3</v>
      </c>
      <c r="J197" s="13">
        <f t="shared" si="37"/>
        <v>0.10451592000000007</v>
      </c>
      <c r="K197" s="79">
        <v>29</v>
      </c>
    </row>
    <row r="198" spans="2:11" x14ac:dyDescent="0.25">
      <c r="B198" s="72"/>
      <c r="C198" s="28">
        <f t="shared" si="35"/>
        <v>9.2964000000000002</v>
      </c>
      <c r="D198" s="11">
        <f t="shared" si="36"/>
        <v>8.1686399999999999</v>
      </c>
      <c r="E198" s="6">
        <v>0.55000000000000004</v>
      </c>
      <c r="F198" s="11">
        <f t="shared" si="33"/>
        <v>0.16764000000000001</v>
      </c>
      <c r="G198" s="11">
        <v>1.1000000000000001</v>
      </c>
      <c r="H198" s="11">
        <f t="shared" si="34"/>
        <v>0.33528000000000002</v>
      </c>
      <c r="I198" s="13">
        <f>F198*H198*(((D198-D197)/2)+((D199-D198)))</f>
        <v>2.9980461329280023E-2</v>
      </c>
      <c r="J198" s="13">
        <f t="shared" si="37"/>
        <v>7.6645008000000056E-2</v>
      </c>
      <c r="K198" s="79">
        <v>30.5</v>
      </c>
    </row>
    <row r="199" spans="2:11" x14ac:dyDescent="0.25">
      <c r="B199" s="72"/>
      <c r="C199" s="28">
        <f t="shared" si="35"/>
        <v>9.6012000000000004</v>
      </c>
      <c r="D199" s="11">
        <f t="shared" si="36"/>
        <v>8.4734400000000001</v>
      </c>
      <c r="E199" s="6">
        <v>0</v>
      </c>
      <c r="F199" s="6">
        <v>0</v>
      </c>
      <c r="G199" s="6">
        <v>0</v>
      </c>
      <c r="H199" s="11">
        <f t="shared" si="34"/>
        <v>0</v>
      </c>
      <c r="I199" s="13">
        <f>F199*H199*(((D199-D198)/2)+((D200-D199)))</f>
        <v>0</v>
      </c>
      <c r="J199" s="13">
        <f t="shared" si="37"/>
        <v>2.5548336000000015E-2</v>
      </c>
      <c r="K199" s="79">
        <v>31.5</v>
      </c>
    </row>
    <row r="200" spans="2:11" x14ac:dyDescent="0.25">
      <c r="B200" s="72"/>
      <c r="C200" s="10"/>
      <c r="D200" s="29">
        <f>D199</f>
        <v>8.4734400000000001</v>
      </c>
      <c r="E200" s="6"/>
      <c r="F200" s="6"/>
      <c r="G200" s="6"/>
      <c r="H200" s="6"/>
      <c r="I200" s="17">
        <f>SUM(I180:I199)</f>
        <v>1.561490030045952</v>
      </c>
      <c r="J200" s="44">
        <f>SUM(J180:J199)</f>
        <v>1.9479444911999999</v>
      </c>
      <c r="K200" s="74"/>
    </row>
    <row r="201" spans="2:11" ht="15.6" x14ac:dyDescent="0.25">
      <c r="B201" s="72"/>
      <c r="C201" s="19"/>
      <c r="D201" s="20" t="s">
        <v>30</v>
      </c>
      <c r="E201" s="21"/>
      <c r="F201" s="21"/>
      <c r="G201" s="21"/>
      <c r="H201" s="21"/>
      <c r="I201" s="22" t="s">
        <v>34</v>
      </c>
      <c r="J201" s="45" t="s">
        <v>33</v>
      </c>
      <c r="K201" s="80"/>
    </row>
    <row r="202" spans="2:11" x14ac:dyDescent="0.25">
      <c r="B202" s="72"/>
      <c r="C202" s="6"/>
      <c r="D202" s="6"/>
      <c r="E202" s="6"/>
      <c r="F202" s="6"/>
      <c r="G202" s="6"/>
      <c r="H202" s="6"/>
      <c r="I202" s="6"/>
      <c r="J202" s="6"/>
      <c r="K202" s="74"/>
    </row>
    <row r="203" spans="2:11" x14ac:dyDescent="0.25">
      <c r="B203" s="72"/>
      <c r="C203" s="6"/>
      <c r="D203" s="6"/>
      <c r="E203" s="6"/>
      <c r="F203" s="6"/>
      <c r="G203" s="6"/>
      <c r="H203" s="6"/>
      <c r="I203" s="6"/>
      <c r="J203" s="6"/>
      <c r="K203" s="74"/>
    </row>
    <row r="204" spans="2:11" x14ac:dyDescent="0.25">
      <c r="B204" s="72"/>
      <c r="C204" s="33" t="s">
        <v>26</v>
      </c>
      <c r="D204" s="34" t="s">
        <v>13</v>
      </c>
      <c r="E204" s="34" t="s">
        <v>10</v>
      </c>
      <c r="F204" s="34"/>
      <c r="G204" s="34"/>
      <c r="H204" s="35" t="s">
        <v>35</v>
      </c>
      <c r="I204" s="34">
        <v>27</v>
      </c>
      <c r="J204" s="36"/>
      <c r="K204" s="74"/>
    </row>
    <row r="205" spans="2:11" x14ac:dyDescent="0.25">
      <c r="B205" s="72"/>
      <c r="C205" s="37" t="s">
        <v>23</v>
      </c>
      <c r="D205" s="38" t="s">
        <v>25</v>
      </c>
      <c r="E205" s="38" t="s">
        <v>29</v>
      </c>
      <c r="F205" s="38" t="s">
        <v>29</v>
      </c>
      <c r="G205" s="38" t="s">
        <v>27</v>
      </c>
      <c r="H205" s="38" t="s">
        <v>27</v>
      </c>
      <c r="I205" s="39" t="s">
        <v>31</v>
      </c>
      <c r="J205" s="40" t="s">
        <v>19</v>
      </c>
      <c r="K205" s="74"/>
    </row>
    <row r="206" spans="2:11" x14ac:dyDescent="0.25">
      <c r="B206" s="72"/>
      <c r="C206" s="41" t="s">
        <v>28</v>
      </c>
      <c r="D206" s="42" t="s">
        <v>24</v>
      </c>
      <c r="E206" s="42" t="s">
        <v>20</v>
      </c>
      <c r="F206" s="42" t="s">
        <v>21</v>
      </c>
      <c r="G206" s="42" t="s">
        <v>1</v>
      </c>
      <c r="H206" s="42" t="s">
        <v>3</v>
      </c>
      <c r="I206" s="42" t="s">
        <v>0</v>
      </c>
      <c r="J206" s="43" t="s">
        <v>7</v>
      </c>
      <c r="K206" s="74"/>
    </row>
    <row r="207" spans="2:11" x14ac:dyDescent="0.25">
      <c r="B207" s="72"/>
      <c r="C207" s="28">
        <f>3.5*0.3048</f>
        <v>1.0668</v>
      </c>
      <c r="D207" s="11">
        <f t="shared" ref="D207:D226" si="39">C207-C$207</f>
        <v>0</v>
      </c>
      <c r="E207" s="6">
        <v>0</v>
      </c>
      <c r="F207" s="11">
        <f t="shared" ref="F207:F225" si="40">E207*0.3048</f>
        <v>0</v>
      </c>
      <c r="G207" s="6">
        <v>0</v>
      </c>
      <c r="H207" s="11">
        <f t="shared" ref="H207:H225" si="41">G207*0.3048</f>
        <v>0</v>
      </c>
      <c r="I207" s="13">
        <v>0</v>
      </c>
      <c r="J207" s="14"/>
      <c r="K207" s="74"/>
    </row>
    <row r="208" spans="2:11" x14ac:dyDescent="0.25">
      <c r="B208" s="72"/>
      <c r="C208" s="28">
        <f>5*0.3048</f>
        <v>1.524</v>
      </c>
      <c r="D208" s="11">
        <f t="shared" si="39"/>
        <v>0.45720000000000005</v>
      </c>
      <c r="E208" s="6">
        <v>0.55000000000000004</v>
      </c>
      <c r="F208" s="11">
        <f t="shared" si="40"/>
        <v>0.16764000000000001</v>
      </c>
      <c r="G208" s="6">
        <v>2.1</v>
      </c>
      <c r="H208" s="11">
        <f t="shared" si="41"/>
        <v>0.64008000000000009</v>
      </c>
      <c r="I208" s="13">
        <f>F208*H208*(((D208-D207))+((D209-D208)/2))</f>
        <v>7.3588405080960026E-2</v>
      </c>
      <c r="J208" s="15">
        <f t="shared" ref="J208:J226" si="42">(D208-D207)*((F207+F208)/2)</f>
        <v>3.8322504000000007E-2</v>
      </c>
      <c r="K208" s="74"/>
    </row>
    <row r="209" spans="2:11" x14ac:dyDescent="0.25">
      <c r="B209" s="72"/>
      <c r="C209" s="28">
        <f>6.5*0.3048</f>
        <v>1.9812000000000001</v>
      </c>
      <c r="D209" s="11">
        <f t="shared" si="39"/>
        <v>0.9144000000000001</v>
      </c>
      <c r="E209" s="6">
        <v>0.6</v>
      </c>
      <c r="F209" s="11">
        <f t="shared" si="40"/>
        <v>0.18288000000000001</v>
      </c>
      <c r="G209" s="6">
        <v>2.5</v>
      </c>
      <c r="H209" s="11">
        <f t="shared" si="41"/>
        <v>0.76200000000000001</v>
      </c>
      <c r="I209" s="13">
        <f t="shared" ref="I209:I224" si="43">F209*H209*(((D209-D208)/2)+((D210-D209)/2))</f>
        <v>6.3712904832000011E-2</v>
      </c>
      <c r="J209" s="15">
        <f t="shared" si="42"/>
        <v>8.0128872000000018E-2</v>
      </c>
      <c r="K209" s="74"/>
    </row>
    <row r="210" spans="2:11" x14ac:dyDescent="0.25">
      <c r="B210" s="72"/>
      <c r="C210" s="28">
        <f>8*0.3048</f>
        <v>2.4384000000000001</v>
      </c>
      <c r="D210" s="11">
        <f t="shared" si="39"/>
        <v>1.3716000000000002</v>
      </c>
      <c r="E210" s="6">
        <v>0.6</v>
      </c>
      <c r="F210" s="11">
        <f t="shared" si="40"/>
        <v>0.18288000000000001</v>
      </c>
      <c r="G210" s="6">
        <v>2.65</v>
      </c>
      <c r="H210" s="11">
        <f t="shared" si="41"/>
        <v>0.80771999999999999</v>
      </c>
      <c r="I210" s="13">
        <f t="shared" si="43"/>
        <v>6.7535679121920003E-2</v>
      </c>
      <c r="J210" s="15">
        <f t="shared" si="42"/>
        <v>8.3612736000000021E-2</v>
      </c>
      <c r="K210" s="74"/>
    </row>
    <row r="211" spans="2:11" x14ac:dyDescent="0.25">
      <c r="B211" s="72"/>
      <c r="C211" s="28">
        <f>9.5*0.3048</f>
        <v>2.8956</v>
      </c>
      <c r="D211" s="11">
        <f t="shared" si="39"/>
        <v>1.8288</v>
      </c>
      <c r="E211" s="6">
        <v>0.9</v>
      </c>
      <c r="F211" s="11">
        <f t="shared" si="40"/>
        <v>0.27432000000000001</v>
      </c>
      <c r="G211" s="6">
        <v>1.9</v>
      </c>
      <c r="H211" s="11">
        <f t="shared" si="41"/>
        <v>0.57911999999999997</v>
      </c>
      <c r="I211" s="13">
        <f t="shared" si="43"/>
        <v>7.2632711508480025E-2</v>
      </c>
      <c r="J211" s="15">
        <f t="shared" si="42"/>
        <v>0.10451591999999997</v>
      </c>
      <c r="K211" s="74"/>
    </row>
    <row r="212" spans="2:11" x14ac:dyDescent="0.25">
      <c r="B212" s="72"/>
      <c r="C212" s="28">
        <f>11*0.3048</f>
        <v>3.3528000000000002</v>
      </c>
      <c r="D212" s="11">
        <f t="shared" si="39"/>
        <v>2.2860000000000005</v>
      </c>
      <c r="E212" s="6">
        <v>1.05</v>
      </c>
      <c r="F212" s="11">
        <f t="shared" si="40"/>
        <v>0.32004000000000005</v>
      </c>
      <c r="G212" s="6">
        <v>3.1</v>
      </c>
      <c r="H212" s="11">
        <f t="shared" si="41"/>
        <v>0.94488000000000005</v>
      </c>
      <c r="I212" s="13">
        <f t="shared" si="43"/>
        <v>0.13825700348544001</v>
      </c>
      <c r="J212" s="15">
        <f t="shared" si="42"/>
        <v>0.13587069600000015</v>
      </c>
      <c r="K212" s="74"/>
    </row>
    <row r="213" spans="2:11" x14ac:dyDescent="0.25">
      <c r="B213" s="72"/>
      <c r="C213" s="28">
        <f>12.5*0.3048</f>
        <v>3.81</v>
      </c>
      <c r="D213" s="11">
        <f t="shared" si="39"/>
        <v>2.7431999999999999</v>
      </c>
      <c r="E213" s="6">
        <v>1.05</v>
      </c>
      <c r="F213" s="11">
        <f t="shared" si="40"/>
        <v>0.32004000000000005</v>
      </c>
      <c r="G213" s="6">
        <v>1.8</v>
      </c>
      <c r="H213" s="11">
        <f t="shared" si="41"/>
        <v>0.54864000000000002</v>
      </c>
      <c r="I213" s="13">
        <f t="shared" si="43"/>
        <v>8.0278260088319994E-2</v>
      </c>
      <c r="J213" s="15">
        <f t="shared" si="42"/>
        <v>0.14632228799999983</v>
      </c>
      <c r="K213" s="74"/>
    </row>
    <row r="214" spans="2:11" x14ac:dyDescent="0.25">
      <c r="B214" s="72"/>
      <c r="C214" s="28">
        <f>14*0.3048</f>
        <v>4.2671999999999999</v>
      </c>
      <c r="D214" s="11">
        <f t="shared" si="39"/>
        <v>3.2004000000000001</v>
      </c>
      <c r="E214" s="6">
        <v>1.1000000000000001</v>
      </c>
      <c r="F214" s="11">
        <f t="shared" si="40"/>
        <v>0.33528000000000002</v>
      </c>
      <c r="G214" s="6">
        <v>4</v>
      </c>
      <c r="H214" s="11">
        <f t="shared" si="41"/>
        <v>1.2192000000000001</v>
      </c>
      <c r="I214" s="13">
        <f t="shared" si="43"/>
        <v>0.18689118750720013</v>
      </c>
      <c r="J214" s="15">
        <f t="shared" si="42"/>
        <v>0.14980615200000011</v>
      </c>
      <c r="K214" s="74"/>
    </row>
    <row r="215" spans="2:11" x14ac:dyDescent="0.25">
      <c r="B215" s="72"/>
      <c r="C215" s="28">
        <f>15.5*0.3048</f>
        <v>4.7244000000000002</v>
      </c>
      <c r="D215" s="11">
        <f t="shared" si="39"/>
        <v>3.6576000000000004</v>
      </c>
      <c r="E215" s="6">
        <v>1.1000000000000001</v>
      </c>
      <c r="F215" s="11">
        <f t="shared" si="40"/>
        <v>0.33528000000000002</v>
      </c>
      <c r="G215" s="6">
        <v>4.7</v>
      </c>
      <c r="H215" s="27">
        <f t="shared" si="41"/>
        <v>1.4325600000000001</v>
      </c>
      <c r="I215" s="25">
        <f t="shared" si="43"/>
        <v>0.21959714532096014</v>
      </c>
      <c r="J215" s="15">
        <f t="shared" si="42"/>
        <v>0.15329001600000011</v>
      </c>
      <c r="K215" s="74"/>
    </row>
    <row r="216" spans="2:11" x14ac:dyDescent="0.25">
      <c r="B216" s="72"/>
      <c r="C216" s="28">
        <f>17*0.3048</f>
        <v>5.1816000000000004</v>
      </c>
      <c r="D216" s="11">
        <f t="shared" si="39"/>
        <v>4.1148000000000007</v>
      </c>
      <c r="E216" s="6">
        <v>1.2</v>
      </c>
      <c r="F216" s="11">
        <f t="shared" si="40"/>
        <v>0.36576000000000003</v>
      </c>
      <c r="G216" s="6">
        <v>4.3</v>
      </c>
      <c r="H216" s="27">
        <f t="shared" si="41"/>
        <v>1.31064</v>
      </c>
      <c r="I216" s="25">
        <f t="shared" si="43"/>
        <v>0.21917239262208016</v>
      </c>
      <c r="J216" s="15">
        <f t="shared" si="42"/>
        <v>0.16025774400000012</v>
      </c>
      <c r="K216" s="74"/>
    </row>
    <row r="217" spans="2:11" x14ac:dyDescent="0.25">
      <c r="B217" s="72"/>
      <c r="C217" s="28">
        <f>18.5*0.3048</f>
        <v>5.6388000000000007</v>
      </c>
      <c r="D217" s="11">
        <f t="shared" si="39"/>
        <v>4.572000000000001</v>
      </c>
      <c r="E217" s="6">
        <v>1.1000000000000001</v>
      </c>
      <c r="F217" s="11">
        <f t="shared" si="40"/>
        <v>0.33528000000000002</v>
      </c>
      <c r="G217" s="6">
        <v>4.5999999999999996</v>
      </c>
      <c r="H217" s="11">
        <f t="shared" si="41"/>
        <v>1.40208</v>
      </c>
      <c r="I217" s="13">
        <f t="shared" si="43"/>
        <v>0.21492486563327992</v>
      </c>
      <c r="J217" s="15">
        <f t="shared" si="42"/>
        <v>0.16025774400000012</v>
      </c>
      <c r="K217" s="74"/>
    </row>
    <row r="218" spans="2:11" x14ac:dyDescent="0.25">
      <c r="B218" s="72"/>
      <c r="C218" s="28">
        <f>20*0.3048</f>
        <v>6.0960000000000001</v>
      </c>
      <c r="D218" s="11">
        <f t="shared" si="39"/>
        <v>5.0292000000000003</v>
      </c>
      <c r="E218" s="6">
        <v>1.05</v>
      </c>
      <c r="F218" s="11">
        <f t="shared" si="40"/>
        <v>0.32004000000000005</v>
      </c>
      <c r="G218" s="6">
        <v>3.3</v>
      </c>
      <c r="H218" s="11">
        <f t="shared" si="41"/>
        <v>1.0058400000000001</v>
      </c>
      <c r="I218" s="13">
        <f t="shared" si="43"/>
        <v>0.14717681016191997</v>
      </c>
      <c r="J218" s="15">
        <f t="shared" si="42"/>
        <v>0.14980615199999983</v>
      </c>
      <c r="K218" s="74"/>
    </row>
    <row r="219" spans="2:11" x14ac:dyDescent="0.25">
      <c r="B219" s="72"/>
      <c r="C219" s="28">
        <f>21.5*0.3048</f>
        <v>6.5532000000000004</v>
      </c>
      <c r="D219" s="11">
        <f t="shared" si="39"/>
        <v>5.4864000000000006</v>
      </c>
      <c r="E219" s="6">
        <v>1</v>
      </c>
      <c r="F219" s="11">
        <f t="shared" si="40"/>
        <v>0.30480000000000002</v>
      </c>
      <c r="G219" s="6">
        <v>3.7</v>
      </c>
      <c r="H219" s="11">
        <f t="shared" si="41"/>
        <v>1.1277600000000001</v>
      </c>
      <c r="I219" s="13">
        <f t="shared" si="43"/>
        <v>0.15715849858560013</v>
      </c>
      <c r="J219" s="15">
        <f t="shared" si="42"/>
        <v>0.1428384240000001</v>
      </c>
      <c r="K219" s="74"/>
    </row>
    <row r="220" spans="2:11" x14ac:dyDescent="0.25">
      <c r="B220" s="72"/>
      <c r="C220" s="28">
        <f>23*0.3048</f>
        <v>7.0104000000000006</v>
      </c>
      <c r="D220" s="11">
        <f t="shared" si="39"/>
        <v>5.9436000000000009</v>
      </c>
      <c r="E220" s="6">
        <v>1.1000000000000001</v>
      </c>
      <c r="F220" s="11">
        <f t="shared" si="40"/>
        <v>0.33528000000000002</v>
      </c>
      <c r="G220" s="6">
        <v>4.0999999999999996</v>
      </c>
      <c r="H220" s="11">
        <f t="shared" si="41"/>
        <v>1.2496799999999999</v>
      </c>
      <c r="I220" s="13">
        <f t="shared" si="43"/>
        <v>0.19156346719487991</v>
      </c>
      <c r="J220" s="15">
        <f t="shared" si="42"/>
        <v>0.14632228800000008</v>
      </c>
      <c r="K220" s="74"/>
    </row>
    <row r="221" spans="2:11" x14ac:dyDescent="0.25">
      <c r="B221" s="72"/>
      <c r="C221" s="28">
        <f>24.5*0.3048</f>
        <v>7.4676</v>
      </c>
      <c r="D221" s="11">
        <f t="shared" si="39"/>
        <v>6.4008000000000003</v>
      </c>
      <c r="E221" s="6">
        <v>1</v>
      </c>
      <c r="F221" s="11">
        <f t="shared" si="40"/>
        <v>0.30480000000000002</v>
      </c>
      <c r="G221" s="6">
        <v>3.3</v>
      </c>
      <c r="H221" s="11">
        <f t="shared" si="41"/>
        <v>1.0058400000000001</v>
      </c>
      <c r="I221" s="13">
        <f t="shared" si="43"/>
        <v>0.14016839063039999</v>
      </c>
      <c r="J221" s="15">
        <f t="shared" si="42"/>
        <v>0.1463222879999998</v>
      </c>
      <c r="K221" s="74"/>
    </row>
    <row r="222" spans="2:11" x14ac:dyDescent="0.25">
      <c r="B222" s="72"/>
      <c r="C222" s="28">
        <f>26*0.3048</f>
        <v>7.9248000000000003</v>
      </c>
      <c r="D222" s="11">
        <f t="shared" si="39"/>
        <v>6.8580000000000005</v>
      </c>
      <c r="E222" s="6">
        <v>0.95</v>
      </c>
      <c r="F222" s="11">
        <f t="shared" si="40"/>
        <v>0.28955999999999998</v>
      </c>
      <c r="G222" s="6">
        <v>2.6</v>
      </c>
      <c r="H222" s="11">
        <f t="shared" si="41"/>
        <v>0.79248000000000007</v>
      </c>
      <c r="I222" s="13">
        <f t="shared" si="43"/>
        <v>0.10491391662335996</v>
      </c>
      <c r="J222" s="15">
        <f t="shared" si="42"/>
        <v>0.13587069600000007</v>
      </c>
      <c r="K222" s="74"/>
    </row>
    <row r="223" spans="2:11" x14ac:dyDescent="0.25">
      <c r="B223" s="72"/>
      <c r="C223" s="28">
        <f>27.5*0.3048</f>
        <v>8.3819999999999997</v>
      </c>
      <c r="D223" s="11">
        <f t="shared" si="39"/>
        <v>7.3151999999999999</v>
      </c>
      <c r="E223" s="6">
        <v>1</v>
      </c>
      <c r="F223" s="11">
        <f t="shared" si="40"/>
        <v>0.30480000000000002</v>
      </c>
      <c r="G223" s="6">
        <v>3.2</v>
      </c>
      <c r="H223" s="11">
        <f t="shared" si="41"/>
        <v>0.97536000000000012</v>
      </c>
      <c r="I223" s="13">
        <f t="shared" si="43"/>
        <v>0.13592086364159997</v>
      </c>
      <c r="J223" s="15">
        <f t="shared" si="42"/>
        <v>0.13587069599999982</v>
      </c>
      <c r="K223" s="74"/>
    </row>
    <row r="224" spans="2:11" x14ac:dyDescent="0.25">
      <c r="B224" s="72"/>
      <c r="C224" s="28">
        <f>29*0.3048</f>
        <v>8.8391999999999999</v>
      </c>
      <c r="D224" s="11">
        <f t="shared" si="39"/>
        <v>7.7724000000000002</v>
      </c>
      <c r="E224" s="6">
        <v>0.75</v>
      </c>
      <c r="F224" s="11">
        <f t="shared" si="40"/>
        <v>0.22860000000000003</v>
      </c>
      <c r="G224" s="6">
        <v>0.3</v>
      </c>
      <c r="H224" s="11">
        <f t="shared" si="41"/>
        <v>9.1440000000000007E-2</v>
      </c>
      <c r="I224" s="13">
        <f t="shared" si="43"/>
        <v>9.5569357247999986E-3</v>
      </c>
      <c r="J224" s="15">
        <f t="shared" si="42"/>
        <v>0.1219352400000001</v>
      </c>
      <c r="K224" s="74"/>
    </row>
    <row r="225" spans="2:11" x14ac:dyDescent="0.25">
      <c r="B225" s="72"/>
      <c r="C225" s="28">
        <f>30.5*0.3048</f>
        <v>9.2964000000000002</v>
      </c>
      <c r="D225" s="11">
        <f t="shared" si="39"/>
        <v>8.2295999999999996</v>
      </c>
      <c r="E225" s="6">
        <v>0.65</v>
      </c>
      <c r="F225" s="11">
        <f t="shared" si="40"/>
        <v>0.19812000000000002</v>
      </c>
      <c r="G225" s="6">
        <v>1.8</v>
      </c>
      <c r="H225" s="11">
        <f t="shared" si="41"/>
        <v>0.54864000000000002</v>
      </c>
      <c r="I225" s="13">
        <f>F225*H225*(((D225-D224)/2)+((D226-D225)))</f>
        <v>5.7978743397119989E-2</v>
      </c>
      <c r="J225" s="15">
        <f t="shared" si="42"/>
        <v>9.7548191999999881E-2</v>
      </c>
      <c r="K225" s="74"/>
    </row>
    <row r="226" spans="2:11" x14ac:dyDescent="0.25">
      <c r="B226" s="72"/>
      <c r="C226" s="28">
        <f>31.5*0.3048</f>
        <v>9.6012000000000004</v>
      </c>
      <c r="D226" s="11">
        <f t="shared" si="39"/>
        <v>8.5343999999999998</v>
      </c>
      <c r="E226" s="6">
        <v>0</v>
      </c>
      <c r="F226" s="6">
        <v>0</v>
      </c>
      <c r="G226" s="6">
        <v>0</v>
      </c>
      <c r="H226" s="6"/>
      <c r="I226" s="13">
        <f>F226*H226*(((D226-D225)/2)+((D227-D226)))</f>
        <v>0</v>
      </c>
      <c r="J226" s="15">
        <f t="shared" si="42"/>
        <v>3.0193488000000022E-2</v>
      </c>
      <c r="K226" s="74"/>
    </row>
    <row r="227" spans="2:11" x14ac:dyDescent="0.25">
      <c r="B227" s="72"/>
      <c r="C227" s="10"/>
      <c r="D227" s="29">
        <f>D226</f>
        <v>8.5343999999999998</v>
      </c>
      <c r="E227" s="6"/>
      <c r="F227" s="6"/>
      <c r="G227" s="6"/>
      <c r="H227" s="6"/>
      <c r="I227" s="17">
        <f>SUM(I207:I226)</f>
        <v>2.2810281811603206</v>
      </c>
      <c r="J227" s="18">
        <f>SUM(J207:J226)</f>
        <v>2.3190921360000005</v>
      </c>
      <c r="K227" s="74"/>
    </row>
    <row r="228" spans="2:11" ht="15.6" x14ac:dyDescent="0.25">
      <c r="B228" s="72"/>
      <c r="C228" s="19"/>
      <c r="D228" s="20" t="s">
        <v>30</v>
      </c>
      <c r="E228" s="21"/>
      <c r="F228" s="21"/>
      <c r="G228" s="21"/>
      <c r="H228" s="21"/>
      <c r="I228" s="22" t="s">
        <v>34</v>
      </c>
      <c r="J228" s="23" t="s">
        <v>33</v>
      </c>
      <c r="K228" s="74"/>
    </row>
    <row r="229" spans="2:11" x14ac:dyDescent="0.25">
      <c r="B229" s="72"/>
      <c r="C229" s="6"/>
      <c r="D229" s="30"/>
      <c r="E229" s="6"/>
      <c r="F229" s="6"/>
      <c r="G229" s="6"/>
      <c r="H229" s="6"/>
      <c r="I229" s="31"/>
      <c r="J229" s="32"/>
      <c r="K229" s="74"/>
    </row>
    <row r="230" spans="2:11" x14ac:dyDescent="0.25">
      <c r="B230" s="72"/>
      <c r="C230" s="6"/>
      <c r="D230" s="6"/>
      <c r="E230" s="6"/>
      <c r="F230" s="6"/>
      <c r="G230" s="6"/>
      <c r="H230" s="6"/>
      <c r="I230" s="6"/>
      <c r="J230" s="6"/>
      <c r="K230" s="74"/>
    </row>
    <row r="231" spans="2:11" x14ac:dyDescent="0.25">
      <c r="B231" s="72"/>
      <c r="C231" s="33" t="s">
        <v>26</v>
      </c>
      <c r="D231" s="34" t="s">
        <v>14</v>
      </c>
      <c r="E231" s="34" t="s">
        <v>4</v>
      </c>
      <c r="F231" s="34"/>
      <c r="G231" s="34"/>
      <c r="H231" s="35" t="s">
        <v>35</v>
      </c>
      <c r="I231" s="34">
        <v>24.5</v>
      </c>
      <c r="J231" s="36"/>
      <c r="K231" s="74"/>
    </row>
    <row r="232" spans="2:11" x14ac:dyDescent="0.25">
      <c r="B232" s="72"/>
      <c r="C232" s="37" t="s">
        <v>23</v>
      </c>
      <c r="D232" s="38" t="s">
        <v>25</v>
      </c>
      <c r="E232" s="38" t="s">
        <v>29</v>
      </c>
      <c r="F232" s="38" t="s">
        <v>29</v>
      </c>
      <c r="G232" s="38" t="s">
        <v>27</v>
      </c>
      <c r="H232" s="38" t="s">
        <v>27</v>
      </c>
      <c r="I232" s="39" t="s">
        <v>31</v>
      </c>
      <c r="J232" s="40" t="s">
        <v>19</v>
      </c>
      <c r="K232" s="74"/>
    </row>
    <row r="233" spans="2:11" x14ac:dyDescent="0.25">
      <c r="B233" s="72"/>
      <c r="C233" s="41" t="s">
        <v>28</v>
      </c>
      <c r="D233" s="42" t="s">
        <v>24</v>
      </c>
      <c r="E233" s="42" t="s">
        <v>20</v>
      </c>
      <c r="F233" s="42" t="s">
        <v>21</v>
      </c>
      <c r="G233" s="42" t="s">
        <v>1</v>
      </c>
      <c r="H233" s="42" t="s">
        <v>3</v>
      </c>
      <c r="I233" s="42" t="s">
        <v>0</v>
      </c>
      <c r="J233" s="43" t="s">
        <v>7</v>
      </c>
      <c r="K233" s="74"/>
    </row>
    <row r="234" spans="2:11" x14ac:dyDescent="0.25">
      <c r="B234" s="72"/>
      <c r="C234" s="28">
        <f>3.5*0.3048</f>
        <v>1.0668</v>
      </c>
      <c r="D234" s="11">
        <f t="shared" ref="D234:D253" si="44">C234-C$234</f>
        <v>0</v>
      </c>
      <c r="E234" s="6">
        <v>0</v>
      </c>
      <c r="F234" s="11">
        <f t="shared" ref="F234:F252" si="45">E234*0.3048</f>
        <v>0</v>
      </c>
      <c r="G234" s="6">
        <v>0</v>
      </c>
      <c r="H234" s="11">
        <f t="shared" ref="H234:H253" si="46">G234*0.3048</f>
        <v>0</v>
      </c>
      <c r="I234" s="13">
        <v>0</v>
      </c>
      <c r="J234" s="14"/>
      <c r="K234" s="74"/>
    </row>
    <row r="235" spans="2:11" x14ac:dyDescent="0.25">
      <c r="B235" s="72"/>
      <c r="C235" s="28">
        <f>5*0.3048</f>
        <v>1.524</v>
      </c>
      <c r="D235" s="11">
        <f t="shared" si="44"/>
        <v>0.45720000000000005</v>
      </c>
      <c r="E235" s="6">
        <v>0.5</v>
      </c>
      <c r="F235" s="11">
        <f t="shared" si="45"/>
        <v>0.15240000000000001</v>
      </c>
      <c r="G235" s="6">
        <v>2.4</v>
      </c>
      <c r="H235" s="11">
        <f t="shared" si="46"/>
        <v>0.73152000000000006</v>
      </c>
      <c r="I235" s="13">
        <f>F235*H235*(((D235-D234))+((D236-D235)/2))</f>
        <v>7.6455485798400016E-2</v>
      </c>
      <c r="J235" s="15">
        <f t="shared" ref="J235:J253" si="47">(D235-D234)*((F234+F235)/2)</f>
        <v>3.4838640000000004E-2</v>
      </c>
      <c r="K235" s="74"/>
    </row>
    <row r="236" spans="2:11" x14ac:dyDescent="0.25">
      <c r="B236" s="72"/>
      <c r="C236" s="28">
        <f>6.5*0.3048</f>
        <v>1.9812000000000001</v>
      </c>
      <c r="D236" s="11">
        <f t="shared" si="44"/>
        <v>0.9144000000000001</v>
      </c>
      <c r="E236" s="6">
        <v>0.5</v>
      </c>
      <c r="F236" s="11">
        <f t="shared" si="45"/>
        <v>0.15240000000000001</v>
      </c>
      <c r="G236" s="6">
        <v>2.7</v>
      </c>
      <c r="H236" s="11">
        <f t="shared" si="46"/>
        <v>0.82296000000000014</v>
      </c>
      <c r="I236" s="13">
        <f t="shared" ref="I236:I251" si="48">F236*H236*(((D236-D235)/2)+((D237-D236)/2))</f>
        <v>5.7341614348800023E-2</v>
      </c>
      <c r="J236" s="15">
        <f t="shared" si="47"/>
        <v>6.9677280000000008E-2</v>
      </c>
      <c r="K236" s="74"/>
    </row>
    <row r="237" spans="2:11" x14ac:dyDescent="0.25">
      <c r="B237" s="72"/>
      <c r="C237" s="28">
        <f>8*0.3048</f>
        <v>2.4384000000000001</v>
      </c>
      <c r="D237" s="11">
        <f t="shared" si="44"/>
        <v>1.3716000000000002</v>
      </c>
      <c r="E237" s="6">
        <v>0.65</v>
      </c>
      <c r="F237" s="11">
        <f t="shared" si="45"/>
        <v>0.19812000000000002</v>
      </c>
      <c r="G237" s="6">
        <v>2.5499999999999998</v>
      </c>
      <c r="H237" s="11">
        <f t="shared" si="46"/>
        <v>0.77723999999999993</v>
      </c>
      <c r="I237" s="13">
        <f t="shared" si="48"/>
        <v>7.0402759839359993E-2</v>
      </c>
      <c r="J237" s="15">
        <f t="shared" si="47"/>
        <v>8.0128872000000018E-2</v>
      </c>
      <c r="K237" s="74"/>
    </row>
    <row r="238" spans="2:11" x14ac:dyDescent="0.25">
      <c r="B238" s="72"/>
      <c r="C238" s="28">
        <f>9.5*0.3048</f>
        <v>2.8956</v>
      </c>
      <c r="D238" s="11">
        <f t="shared" si="44"/>
        <v>1.8288</v>
      </c>
      <c r="E238" s="6">
        <v>0.65</v>
      </c>
      <c r="F238" s="11">
        <f t="shared" si="45"/>
        <v>0.19812000000000002</v>
      </c>
      <c r="G238" s="6">
        <v>2.8</v>
      </c>
      <c r="H238" s="11">
        <f t="shared" si="46"/>
        <v>0.85343999999999998</v>
      </c>
      <c r="I238" s="13">
        <f t="shared" si="48"/>
        <v>7.7304991196160036E-2</v>
      </c>
      <c r="J238" s="15">
        <f t="shared" si="47"/>
        <v>9.0580463999999972E-2</v>
      </c>
      <c r="K238" s="74"/>
    </row>
    <row r="239" spans="2:11" x14ac:dyDescent="0.25">
      <c r="B239" s="72"/>
      <c r="C239" s="28">
        <f>11*0.3048</f>
        <v>3.3528000000000002</v>
      </c>
      <c r="D239" s="11">
        <f t="shared" si="44"/>
        <v>2.2860000000000005</v>
      </c>
      <c r="E239" s="6">
        <v>0.95</v>
      </c>
      <c r="F239" s="11">
        <f t="shared" si="45"/>
        <v>0.28955999999999998</v>
      </c>
      <c r="G239" s="6">
        <v>3.5</v>
      </c>
      <c r="H239" s="11">
        <f t="shared" si="46"/>
        <v>1.0668</v>
      </c>
      <c r="I239" s="13">
        <f t="shared" si="48"/>
        <v>0.14123027237759997</v>
      </c>
      <c r="J239" s="15">
        <f t="shared" si="47"/>
        <v>0.11148364800000012</v>
      </c>
      <c r="K239" s="74"/>
    </row>
    <row r="240" spans="2:11" x14ac:dyDescent="0.25">
      <c r="B240" s="72"/>
      <c r="C240" s="28">
        <f>12.5*0.3048</f>
        <v>3.81</v>
      </c>
      <c r="D240" s="11">
        <f t="shared" si="44"/>
        <v>2.7431999999999999</v>
      </c>
      <c r="E240" s="6">
        <v>0.95</v>
      </c>
      <c r="F240" s="11">
        <f t="shared" si="45"/>
        <v>0.28955999999999998</v>
      </c>
      <c r="G240" s="6">
        <v>1.7</v>
      </c>
      <c r="H240" s="11">
        <f t="shared" si="46"/>
        <v>0.51816000000000006</v>
      </c>
      <c r="I240" s="13">
        <f t="shared" si="48"/>
        <v>6.8597560869119972E-2</v>
      </c>
      <c r="J240" s="15">
        <f t="shared" si="47"/>
        <v>0.13238683199999982</v>
      </c>
      <c r="K240" s="74"/>
    </row>
    <row r="241" spans="2:11" x14ac:dyDescent="0.25">
      <c r="B241" s="72"/>
      <c r="C241" s="28">
        <f>14*0.3048</f>
        <v>4.2671999999999999</v>
      </c>
      <c r="D241" s="11">
        <f t="shared" si="44"/>
        <v>3.2004000000000001</v>
      </c>
      <c r="E241" s="6">
        <v>0.9</v>
      </c>
      <c r="F241" s="11">
        <f t="shared" si="45"/>
        <v>0.27432000000000001</v>
      </c>
      <c r="G241" s="6">
        <v>3.7</v>
      </c>
      <c r="H241" s="27">
        <f t="shared" si="46"/>
        <v>1.1277600000000001</v>
      </c>
      <c r="I241" s="25">
        <f t="shared" si="48"/>
        <v>0.1414426487270401</v>
      </c>
      <c r="J241" s="15">
        <f t="shared" si="47"/>
        <v>0.12890296800000006</v>
      </c>
      <c r="K241" s="74"/>
    </row>
    <row r="242" spans="2:11" x14ac:dyDescent="0.25">
      <c r="B242" s="72"/>
      <c r="C242" s="28">
        <f>15.5*0.3048</f>
        <v>4.7244000000000002</v>
      </c>
      <c r="D242" s="11">
        <f t="shared" si="44"/>
        <v>3.6576000000000004</v>
      </c>
      <c r="E242" s="6">
        <v>0.85</v>
      </c>
      <c r="F242" s="11">
        <f t="shared" si="45"/>
        <v>0.25908000000000003</v>
      </c>
      <c r="G242" s="6">
        <v>3.85</v>
      </c>
      <c r="H242" s="27">
        <f t="shared" si="46"/>
        <v>1.1734800000000001</v>
      </c>
      <c r="I242" s="25">
        <f t="shared" si="48"/>
        <v>0.13900032070848012</v>
      </c>
      <c r="J242" s="15">
        <f t="shared" si="47"/>
        <v>0.1219352400000001</v>
      </c>
      <c r="K242" s="74"/>
    </row>
    <row r="243" spans="2:11" x14ac:dyDescent="0.25">
      <c r="B243" s="72"/>
      <c r="C243" s="28">
        <f>17*0.3048</f>
        <v>5.1816000000000004</v>
      </c>
      <c r="D243" s="11">
        <f t="shared" si="44"/>
        <v>4.1148000000000007</v>
      </c>
      <c r="E243" s="6">
        <v>0.95</v>
      </c>
      <c r="F243" s="11">
        <f t="shared" si="45"/>
        <v>0.28955999999999998</v>
      </c>
      <c r="G243" s="6">
        <v>3.3</v>
      </c>
      <c r="H243" s="27">
        <f t="shared" si="46"/>
        <v>1.0058400000000001</v>
      </c>
      <c r="I243" s="25">
        <f t="shared" si="48"/>
        <v>0.13315997109888009</v>
      </c>
      <c r="J243" s="15">
        <f t="shared" si="47"/>
        <v>0.12541910400000009</v>
      </c>
      <c r="K243" s="74"/>
    </row>
    <row r="244" spans="2:11" x14ac:dyDescent="0.25">
      <c r="B244" s="72"/>
      <c r="C244" s="28">
        <f>18.5*0.3048</f>
        <v>5.6388000000000007</v>
      </c>
      <c r="D244" s="11">
        <f t="shared" si="44"/>
        <v>4.572000000000001</v>
      </c>
      <c r="E244" s="6">
        <v>0.95</v>
      </c>
      <c r="F244" s="11">
        <f t="shared" si="45"/>
        <v>0.28955999999999998</v>
      </c>
      <c r="G244" s="6">
        <v>4.4000000000000004</v>
      </c>
      <c r="H244" s="27">
        <f t="shared" si="46"/>
        <v>1.3411200000000001</v>
      </c>
      <c r="I244" s="25">
        <f t="shared" si="48"/>
        <v>0.17754662813183994</v>
      </c>
      <c r="J244" s="15">
        <f t="shared" si="47"/>
        <v>0.13238683200000007</v>
      </c>
      <c r="K244" s="74"/>
    </row>
    <row r="245" spans="2:11" x14ac:dyDescent="0.25">
      <c r="B245" s="72"/>
      <c r="C245" s="28">
        <f>20*0.3048</f>
        <v>6.0960000000000001</v>
      </c>
      <c r="D245" s="11">
        <f t="shared" si="44"/>
        <v>5.0292000000000003</v>
      </c>
      <c r="E245" s="6">
        <v>1</v>
      </c>
      <c r="F245" s="11">
        <f t="shared" si="45"/>
        <v>0.30480000000000002</v>
      </c>
      <c r="G245" s="6">
        <v>3</v>
      </c>
      <c r="H245" s="27">
        <f t="shared" si="46"/>
        <v>0.9144000000000001</v>
      </c>
      <c r="I245" s="25">
        <f t="shared" si="48"/>
        <v>0.12742580966399997</v>
      </c>
      <c r="J245" s="15">
        <f t="shared" si="47"/>
        <v>0.13587069599999982</v>
      </c>
      <c r="K245" s="74"/>
    </row>
    <row r="246" spans="2:11" x14ac:dyDescent="0.25">
      <c r="B246" s="72"/>
      <c r="C246" s="28">
        <f>21.5*0.3048</f>
        <v>6.5532000000000004</v>
      </c>
      <c r="D246" s="11">
        <f t="shared" si="44"/>
        <v>5.4864000000000006</v>
      </c>
      <c r="E246" s="6">
        <v>0.95</v>
      </c>
      <c r="F246" s="11">
        <f t="shared" si="45"/>
        <v>0.28955999999999998</v>
      </c>
      <c r="G246" s="6">
        <v>3.5</v>
      </c>
      <c r="H246" s="27">
        <f t="shared" si="46"/>
        <v>1.0668</v>
      </c>
      <c r="I246" s="25">
        <f t="shared" si="48"/>
        <v>0.14123027237760008</v>
      </c>
      <c r="J246" s="15">
        <f t="shared" si="47"/>
        <v>0.13587069600000007</v>
      </c>
      <c r="K246" s="74"/>
    </row>
    <row r="247" spans="2:11" x14ac:dyDescent="0.25">
      <c r="B247" s="72"/>
      <c r="C247" s="28">
        <f>23*0.3048</f>
        <v>7.0104000000000006</v>
      </c>
      <c r="D247" s="11">
        <f t="shared" si="44"/>
        <v>5.9436000000000009</v>
      </c>
      <c r="E247" s="6">
        <v>1</v>
      </c>
      <c r="F247" s="11">
        <f t="shared" si="45"/>
        <v>0.30480000000000002</v>
      </c>
      <c r="G247" s="6">
        <v>3</v>
      </c>
      <c r="H247" s="27">
        <f t="shared" si="46"/>
        <v>0.9144000000000001</v>
      </c>
      <c r="I247" s="25">
        <f t="shared" si="48"/>
        <v>0.12742580966399997</v>
      </c>
      <c r="J247" s="15">
        <f t="shared" si="47"/>
        <v>0.13587069600000007</v>
      </c>
      <c r="K247" s="74"/>
    </row>
    <row r="248" spans="2:11" x14ac:dyDescent="0.25">
      <c r="B248" s="72"/>
      <c r="C248" s="28">
        <f>24.5*0.3048</f>
        <v>7.4676</v>
      </c>
      <c r="D248" s="11">
        <f t="shared" si="44"/>
        <v>6.4008000000000003</v>
      </c>
      <c r="E248" s="6">
        <v>0.85</v>
      </c>
      <c r="F248" s="11">
        <f t="shared" si="45"/>
        <v>0.25908000000000003</v>
      </c>
      <c r="G248" s="6">
        <v>3.1</v>
      </c>
      <c r="H248" s="11">
        <f t="shared" si="46"/>
        <v>0.94488000000000005</v>
      </c>
      <c r="I248" s="13">
        <f t="shared" si="48"/>
        <v>0.11192233615487997</v>
      </c>
      <c r="J248" s="15">
        <f t="shared" si="47"/>
        <v>0.12890296799999984</v>
      </c>
      <c r="K248" s="74"/>
    </row>
    <row r="249" spans="2:11" x14ac:dyDescent="0.25">
      <c r="B249" s="72"/>
      <c r="C249" s="28">
        <f>26*0.3048</f>
        <v>7.9248000000000003</v>
      </c>
      <c r="D249" s="11">
        <f t="shared" si="44"/>
        <v>6.8580000000000005</v>
      </c>
      <c r="E249" s="6">
        <v>0.85</v>
      </c>
      <c r="F249" s="11">
        <f t="shared" si="45"/>
        <v>0.25908000000000003</v>
      </c>
      <c r="G249" s="6">
        <v>2.8</v>
      </c>
      <c r="H249" s="11">
        <f t="shared" si="46"/>
        <v>0.85343999999999998</v>
      </c>
      <c r="I249" s="13">
        <f t="shared" si="48"/>
        <v>0.10109114233343998</v>
      </c>
      <c r="J249" s="15">
        <f t="shared" si="47"/>
        <v>0.11845137600000008</v>
      </c>
      <c r="K249" s="74"/>
    </row>
    <row r="250" spans="2:11" x14ac:dyDescent="0.25">
      <c r="B250" s="72"/>
      <c r="C250" s="28">
        <f>27.5*0.3048</f>
        <v>8.3819999999999997</v>
      </c>
      <c r="D250" s="11">
        <f t="shared" si="44"/>
        <v>7.3151999999999999</v>
      </c>
      <c r="E250" s="6">
        <v>1</v>
      </c>
      <c r="F250" s="11">
        <f t="shared" si="45"/>
        <v>0.30480000000000002</v>
      </c>
      <c r="G250" s="6">
        <v>2.5</v>
      </c>
      <c r="H250" s="11">
        <f t="shared" si="46"/>
        <v>0.76200000000000001</v>
      </c>
      <c r="I250" s="13">
        <f t="shared" si="48"/>
        <v>0.10618817471999996</v>
      </c>
      <c r="J250" s="15">
        <f t="shared" si="47"/>
        <v>0.12890296799999984</v>
      </c>
      <c r="K250" s="74"/>
    </row>
    <row r="251" spans="2:11" x14ac:dyDescent="0.25">
      <c r="B251" s="72"/>
      <c r="C251" s="28">
        <f>29*0.3048</f>
        <v>8.8391999999999999</v>
      </c>
      <c r="D251" s="11">
        <f t="shared" si="44"/>
        <v>7.7724000000000002</v>
      </c>
      <c r="E251" s="6">
        <v>0.65</v>
      </c>
      <c r="F251" s="11">
        <f t="shared" si="45"/>
        <v>0.19812000000000002</v>
      </c>
      <c r="G251" s="6">
        <v>0.55000000000000004</v>
      </c>
      <c r="H251" s="11">
        <f t="shared" si="46"/>
        <v>0.16764000000000001</v>
      </c>
      <c r="I251" s="13">
        <f t="shared" si="48"/>
        <v>1.5184908984959998E-2</v>
      </c>
      <c r="J251" s="15">
        <f t="shared" si="47"/>
        <v>0.11496751200000008</v>
      </c>
      <c r="K251" s="74"/>
    </row>
    <row r="252" spans="2:11" x14ac:dyDescent="0.25">
      <c r="B252" s="72"/>
      <c r="C252" s="28">
        <f>30.5*0.3048</f>
        <v>9.2964000000000002</v>
      </c>
      <c r="D252" s="11">
        <f t="shared" si="44"/>
        <v>8.2295999999999996</v>
      </c>
      <c r="E252" s="6">
        <v>0.4</v>
      </c>
      <c r="F252" s="11">
        <f t="shared" si="45"/>
        <v>0.12192000000000001</v>
      </c>
      <c r="G252" s="6">
        <v>1.3</v>
      </c>
      <c r="H252" s="11">
        <f t="shared" si="46"/>
        <v>0.39624000000000004</v>
      </c>
      <c r="I252" s="13">
        <f>F252*H252*(((D252-D251)/2)+((D253-D252)))</f>
        <v>2.5768330398719997E-2</v>
      </c>
      <c r="J252" s="15">
        <f t="shared" si="47"/>
        <v>7.3161143999999914E-2</v>
      </c>
      <c r="K252" s="74"/>
    </row>
    <row r="253" spans="2:11" x14ac:dyDescent="0.25">
      <c r="B253" s="72"/>
      <c r="C253" s="28">
        <f>31.5*0.3048</f>
        <v>9.6012000000000004</v>
      </c>
      <c r="D253" s="11">
        <f t="shared" si="44"/>
        <v>8.5343999999999998</v>
      </c>
      <c r="E253" s="6">
        <v>0</v>
      </c>
      <c r="F253" s="6">
        <v>0</v>
      </c>
      <c r="G253" s="6">
        <v>0</v>
      </c>
      <c r="H253" s="11">
        <f t="shared" si="46"/>
        <v>0</v>
      </c>
      <c r="I253" s="13">
        <f>F253*H253*(((D253-D252)/2)+((D254-D253)))</f>
        <v>0</v>
      </c>
      <c r="J253" s="15">
        <f t="shared" si="47"/>
        <v>1.8580608000000012E-2</v>
      </c>
      <c r="K253" s="74"/>
    </row>
    <row r="254" spans="2:11" x14ac:dyDescent="0.25">
      <c r="B254" s="72"/>
      <c r="C254" s="10"/>
      <c r="D254" s="29">
        <f>D253</f>
        <v>8.5343999999999998</v>
      </c>
      <c r="E254" s="6"/>
      <c r="F254" s="6"/>
      <c r="G254" s="6"/>
      <c r="H254" s="6"/>
      <c r="I254" s="17">
        <f>SUM(I234:I253)</f>
        <v>1.83871903739328</v>
      </c>
      <c r="J254" s="18">
        <f>SUM(J234:J253)</f>
        <v>2.0183185439999995</v>
      </c>
      <c r="K254" s="74"/>
    </row>
    <row r="255" spans="2:11" ht="15.6" x14ac:dyDescent="0.25">
      <c r="B255" s="72"/>
      <c r="C255" s="19"/>
      <c r="D255" s="20" t="s">
        <v>30</v>
      </c>
      <c r="E255" s="21"/>
      <c r="F255" s="21"/>
      <c r="G255" s="21"/>
      <c r="H255" s="21"/>
      <c r="I255" s="22" t="s">
        <v>34</v>
      </c>
      <c r="J255" s="23" t="s">
        <v>33</v>
      </c>
      <c r="K255" s="74"/>
    </row>
    <row r="256" spans="2:11" ht="13.8" thickBot="1" x14ac:dyDescent="0.3">
      <c r="B256" s="81"/>
      <c r="C256" s="82"/>
      <c r="D256" s="82"/>
      <c r="E256" s="82"/>
      <c r="F256" s="82"/>
      <c r="G256" s="82"/>
      <c r="H256" s="82"/>
      <c r="I256" s="82"/>
      <c r="J256" s="82"/>
      <c r="K256" s="83"/>
    </row>
    <row r="257" spans="3:11" x14ac:dyDescent="0.25">
      <c r="C257" s="6"/>
      <c r="D257" s="6"/>
      <c r="E257" s="6"/>
      <c r="F257" s="6"/>
      <c r="G257" s="6"/>
      <c r="H257" s="6"/>
      <c r="I257" s="7"/>
      <c r="J257" s="6"/>
      <c r="K257" s="6"/>
    </row>
    <row r="258" spans="3:11" x14ac:dyDescent="0.25">
      <c r="C258" s="6"/>
      <c r="D258" s="6"/>
      <c r="E258" s="6"/>
      <c r="F258" s="6"/>
      <c r="G258" s="6"/>
      <c r="H258" s="6"/>
      <c r="I258" s="9"/>
      <c r="J258" s="6"/>
      <c r="K258" s="6"/>
    </row>
    <row r="259" spans="3:11" x14ac:dyDescent="0.25">
      <c r="C259" s="6"/>
      <c r="D259" s="6"/>
      <c r="E259" s="6"/>
      <c r="F259" s="6"/>
      <c r="G259" s="6"/>
      <c r="H259" s="6"/>
      <c r="I259" s="9"/>
      <c r="J259" s="6"/>
      <c r="K259" s="6"/>
    </row>
    <row r="260" spans="3:11" x14ac:dyDescent="0.25">
      <c r="C260" s="6"/>
      <c r="D260" s="6"/>
      <c r="E260" s="6"/>
      <c r="F260" s="6"/>
      <c r="G260" s="6"/>
      <c r="H260" s="6"/>
      <c r="I260" s="9"/>
      <c r="J260" s="6"/>
      <c r="K260" s="6"/>
    </row>
    <row r="261" spans="3:11" x14ac:dyDescent="0.25">
      <c r="C261" s="6"/>
      <c r="D261" s="6"/>
      <c r="E261" s="6"/>
      <c r="F261" s="6"/>
      <c r="G261" s="6"/>
      <c r="H261" s="6"/>
      <c r="I261" s="9"/>
      <c r="J261" s="6"/>
      <c r="K261" s="6"/>
    </row>
    <row r="262" spans="3:11" x14ac:dyDescent="0.25">
      <c r="C262" s="6"/>
      <c r="D262" s="6"/>
      <c r="E262" s="6"/>
      <c r="F262" s="6"/>
      <c r="G262" s="6"/>
      <c r="H262" s="6"/>
      <c r="I262" s="9"/>
      <c r="J262" s="6"/>
      <c r="K262" s="6"/>
    </row>
    <row r="263" spans="3:11" x14ac:dyDescent="0.25">
      <c r="C263" s="6"/>
      <c r="D263" s="6"/>
      <c r="E263" s="6"/>
      <c r="F263" s="6"/>
      <c r="G263" s="6"/>
      <c r="H263" s="6"/>
      <c r="I263" s="7"/>
      <c r="J263" s="6"/>
      <c r="K263" s="6"/>
    </row>
    <row r="264" spans="3:11" x14ac:dyDescent="0.25">
      <c r="C264" s="6"/>
      <c r="D264" s="6"/>
      <c r="E264" s="6"/>
      <c r="F264" s="6"/>
      <c r="G264" s="6"/>
      <c r="H264" s="6"/>
      <c r="I264" s="8"/>
      <c r="J264" s="6"/>
      <c r="K264" s="6"/>
    </row>
    <row r="265" spans="3:11" x14ac:dyDescent="0.25">
      <c r="G265" s="6"/>
      <c r="H265" s="6"/>
      <c r="I265" s="9"/>
    </row>
    <row r="266" spans="3:11" x14ac:dyDescent="0.25">
      <c r="G266" s="6"/>
      <c r="H266" s="6"/>
      <c r="I266" s="6"/>
    </row>
  </sheetData>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E21" sqref="E21"/>
    </sheetView>
  </sheetViews>
  <sheetFormatPr defaultRowHeight="13.2" x14ac:dyDescent="0.25"/>
  <cols>
    <col min="1" max="16384" width="8.88671875" style="2"/>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Navigation</vt:lpstr>
      <vt:lpstr>Methods</vt:lpstr>
      <vt:lpstr>Discharge</vt:lpstr>
      <vt:lpstr>Reports &amp; Refs.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Bunte, Kristin</dc:creator>
  <cp:lastModifiedBy>kbunte</cp:lastModifiedBy>
  <dcterms:created xsi:type="dcterms:W3CDTF">2017-05-09T23:21:45Z</dcterms:created>
  <dcterms:modified xsi:type="dcterms:W3CDTF">2018-08-03T21:32:45Z</dcterms:modified>
</cp:coreProperties>
</file>