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avoie\Box\2400TimberMgmt~2450TimberSaleContracts\SO\TSA.FinancialMngmt.FPFS\FPFS Reports\TS.Remaining.Vol.Value.GMiller Rpt\FY2025\"/>
    </mc:Choice>
  </mc:AlternateContent>
  <xr:revisionPtr revIDLastSave="0" documentId="13_ncr:1_{0BF2CF32-22F7-486D-AE2F-8F30CA04F141}" xr6:coauthVersionLast="47" xr6:coauthVersionMax="47" xr10:uidLastSave="{00000000-0000-0000-0000-000000000000}"/>
  <bookViews>
    <workbookView xWindow="-120" yWindow="-120" windowWidth="29040" windowHeight="157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Contract'!$A$2:$M$54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7" i="1" l="1"/>
  <c r="J57" i="1"/>
  <c r="I57" i="1"/>
  <c r="K43" i="1"/>
  <c r="L91" i="1"/>
  <c r="J91" i="1"/>
  <c r="I91" i="1"/>
  <c r="I148" i="1"/>
  <c r="I139" i="1"/>
  <c r="K6" i="1"/>
  <c r="K5" i="1"/>
  <c r="K4" i="1"/>
  <c r="L70" i="1"/>
  <c r="J70" i="1"/>
  <c r="I70" i="1"/>
  <c r="L89" i="1"/>
  <c r="J89" i="1"/>
  <c r="I89" i="1"/>
  <c r="K88" i="1"/>
  <c r="K67" i="1"/>
  <c r="K66" i="1"/>
  <c r="K89" i="1" s="1"/>
  <c r="K65" i="1"/>
  <c r="K87" i="1" s="1"/>
  <c r="K64" i="1"/>
  <c r="K42" i="1"/>
  <c r="A7" i="1"/>
  <c r="L114" i="1"/>
  <c r="J114" i="1"/>
  <c r="I114" i="1"/>
  <c r="K113" i="1"/>
  <c r="K38" i="1"/>
  <c r="K114" i="1" s="1"/>
  <c r="K35" i="1"/>
  <c r="K9" i="1"/>
  <c r="K46" i="1"/>
  <c r="K14" i="1"/>
  <c r="K91" i="1" s="1"/>
  <c r="K25" i="1"/>
  <c r="K44" i="1"/>
  <c r="K10" i="1"/>
  <c r="K18" i="1"/>
  <c r="K36" i="1"/>
  <c r="K26" i="1"/>
  <c r="K48" i="1"/>
  <c r="K54" i="1"/>
  <c r="K8" i="1"/>
  <c r="K34" i="1"/>
  <c r="L108" i="1"/>
  <c r="J108" i="1"/>
  <c r="I108" i="1"/>
  <c r="K30" i="1"/>
  <c r="K27" i="1"/>
  <c r="K31" i="1"/>
  <c r="K108" i="1" s="1"/>
  <c r="K32" i="1"/>
  <c r="K33" i="1"/>
  <c r="L87" i="1"/>
  <c r="J87" i="1"/>
  <c r="I87" i="1"/>
  <c r="I142" i="1"/>
  <c r="K23" i="1"/>
  <c r="K53" i="1"/>
  <c r="K12" i="1"/>
  <c r="K37" i="1"/>
  <c r="K63" i="1"/>
  <c r="K62" i="1"/>
  <c r="A42" i="1"/>
  <c r="L72" i="1" l="1"/>
  <c r="I72" i="1"/>
  <c r="J72" i="1"/>
  <c r="L123" i="1"/>
  <c r="J123" i="1"/>
  <c r="I123" i="1"/>
  <c r="J121" i="1"/>
  <c r="K123" i="1"/>
  <c r="L93" i="1"/>
  <c r="L92" i="1"/>
  <c r="J92" i="1"/>
  <c r="I92" i="1"/>
  <c r="K15" i="1"/>
  <c r="K92" i="1" s="1"/>
  <c r="K24" i="1"/>
  <c r="K29" i="1"/>
  <c r="L83" i="1"/>
  <c r="J83" i="1"/>
  <c r="I83" i="1"/>
  <c r="K83" i="1"/>
  <c r="L100" i="1"/>
  <c r="J100" i="1"/>
  <c r="I100" i="1"/>
  <c r="K100" i="1"/>
  <c r="K11" i="1"/>
  <c r="K85" i="1" s="1"/>
  <c r="L85" i="1"/>
  <c r="K86" i="1"/>
  <c r="J85" i="1"/>
  <c r="I85" i="1"/>
  <c r="K82" i="1"/>
  <c r="L82" i="1"/>
  <c r="J82" i="1"/>
  <c r="I82" i="1"/>
  <c r="L115" i="1"/>
  <c r="J115" i="1"/>
  <c r="I115" i="1"/>
  <c r="K115" i="1"/>
  <c r="K52" i="1"/>
  <c r="L84" i="1"/>
  <c r="J84" i="1"/>
  <c r="I84" i="1"/>
  <c r="L110" i="1"/>
  <c r="J110" i="1"/>
  <c r="I110" i="1"/>
  <c r="L103" i="1"/>
  <c r="J103" i="1"/>
  <c r="I103" i="1"/>
  <c r="K103" i="1"/>
  <c r="K41" i="1"/>
  <c r="K110" i="1" l="1"/>
  <c r="K84" i="1"/>
  <c r="K106" i="1"/>
  <c r="K105" i="1"/>
  <c r="L119" i="1"/>
  <c r="K119" i="1"/>
  <c r="J119" i="1"/>
  <c r="I119" i="1"/>
  <c r="L105" i="1"/>
  <c r="J105" i="1"/>
  <c r="I105" i="1"/>
  <c r="L106" i="1"/>
  <c r="J106" i="1"/>
  <c r="I106" i="1"/>
  <c r="L90" i="1"/>
  <c r="J90" i="1"/>
  <c r="I90" i="1"/>
  <c r="J88" i="1"/>
  <c r="K90" i="1" l="1"/>
  <c r="L109" i="1"/>
  <c r="J109" i="1"/>
  <c r="I109" i="1"/>
  <c r="K109" i="1"/>
  <c r="K47" i="1"/>
  <c r="I111" i="1" l="1"/>
  <c r="I112" i="1"/>
  <c r="I113" i="1"/>
  <c r="K22" i="1" l="1"/>
  <c r="K17" i="1" l="1"/>
  <c r="K93" i="1" s="1"/>
  <c r="K51" i="1" l="1"/>
  <c r="A51" i="1"/>
  <c r="L86" i="1" l="1"/>
  <c r="L81" i="1"/>
  <c r="J86" i="1"/>
  <c r="J81" i="1"/>
  <c r="I86" i="1"/>
  <c r="I81" i="1"/>
  <c r="L111" i="1" l="1"/>
  <c r="J111" i="1"/>
  <c r="K40" i="1" l="1"/>
  <c r="A40" i="1"/>
  <c r="K20" i="1"/>
  <c r="K19" i="1"/>
  <c r="L102" i="1" l="1"/>
  <c r="J102" i="1"/>
  <c r="I102" i="1"/>
  <c r="K102" i="1"/>
  <c r="K50" i="1"/>
  <c r="A50" i="1"/>
  <c r="K49" i="1"/>
  <c r="A49" i="1"/>
  <c r="K61" i="1" l="1"/>
  <c r="A61" i="1"/>
  <c r="K70" i="1" l="1"/>
  <c r="C70" i="1"/>
  <c r="H70" i="1"/>
  <c r="K81" i="1"/>
  <c r="I79" i="1"/>
  <c r="L126" i="1" l="1"/>
  <c r="L125" i="1"/>
  <c r="K126" i="1"/>
  <c r="J126" i="1"/>
  <c r="J125" i="1"/>
  <c r="I126" i="1"/>
  <c r="I125" i="1"/>
  <c r="K80" i="1" l="1"/>
  <c r="L80" i="1"/>
  <c r="J80" i="1"/>
  <c r="I80" i="1"/>
  <c r="L78" i="1"/>
  <c r="J78" i="1"/>
  <c r="I78" i="1"/>
  <c r="L96" i="1" l="1"/>
  <c r="K96" i="1"/>
  <c r="J96" i="1"/>
  <c r="I96" i="1"/>
  <c r="J97" i="1" l="1"/>
  <c r="L148" i="1" l="1"/>
  <c r="L97" i="1"/>
  <c r="K77" i="1"/>
  <c r="I117" i="1"/>
  <c r="L79" i="1"/>
  <c r="L77" i="1"/>
  <c r="L76" i="1"/>
  <c r="J76" i="1"/>
  <c r="I124" i="1"/>
  <c r="I120" i="1"/>
  <c r="I121" i="1"/>
  <c r="I94" i="1"/>
  <c r="I118" i="1"/>
  <c r="I116" i="1"/>
  <c r="I107" i="1"/>
  <c r="I104" i="1"/>
  <c r="I101" i="1"/>
  <c r="I99" i="1"/>
  <c r="I98" i="1"/>
  <c r="I97" i="1"/>
  <c r="I95" i="1"/>
  <c r="I93" i="1"/>
  <c r="I88" i="1"/>
  <c r="K79" i="1"/>
  <c r="J79" i="1"/>
  <c r="J77" i="1"/>
  <c r="K76" i="1"/>
  <c r="J148" i="1"/>
  <c r="I77" i="1"/>
  <c r="I76" i="1"/>
  <c r="K97" i="1" l="1"/>
  <c r="K125" i="1" l="1"/>
  <c r="K148" i="1" l="1"/>
  <c r="K111" i="1"/>
  <c r="K28" i="1"/>
  <c r="K7" i="1" l="1"/>
  <c r="L120" i="1"/>
  <c r="L118" i="1"/>
  <c r="K120" i="1"/>
  <c r="K118" i="1"/>
  <c r="J120" i="1"/>
  <c r="J118" i="1"/>
  <c r="L99" i="1"/>
  <c r="K99" i="1"/>
  <c r="J99" i="1"/>
  <c r="K57" i="1" l="1"/>
  <c r="K72" i="1" s="1"/>
  <c r="H57" i="1"/>
  <c r="H72" i="1" s="1"/>
  <c r="C57" i="1"/>
  <c r="C72" i="1" s="1"/>
  <c r="K78" i="1"/>
  <c r="L75" i="1"/>
  <c r="K75" i="1"/>
  <c r="J75" i="1"/>
  <c r="I75" i="1"/>
  <c r="I128" i="1" s="1"/>
  <c r="L117" i="1"/>
  <c r="L116" i="1"/>
  <c r="K117" i="1"/>
  <c r="K116" i="1"/>
  <c r="J117" i="1"/>
  <c r="J116" i="1"/>
  <c r="L88" i="1"/>
  <c r="A16" i="1" l="1"/>
  <c r="A17" i="1"/>
  <c r="A28" i="1" l="1"/>
  <c r="A44" i="1"/>
  <c r="A45" i="1"/>
  <c r="L104" i="1" l="1"/>
  <c r="K104" i="1"/>
  <c r="J104" i="1"/>
  <c r="L101" i="1"/>
  <c r="K101" i="1"/>
  <c r="J101" i="1"/>
  <c r="L121" i="1" l="1"/>
  <c r="K121" i="1"/>
  <c r="L113" i="1" l="1"/>
  <c r="J113" i="1"/>
  <c r="L107" i="1" l="1"/>
  <c r="K107" i="1"/>
  <c r="J107" i="1"/>
  <c r="J93" i="1" l="1"/>
  <c r="J94" i="1"/>
  <c r="K94" i="1"/>
  <c r="L94" i="1"/>
  <c r="J95" i="1" a="1"/>
  <c r="J95" i="1" s="1"/>
  <c r="K95" i="1" a="1"/>
  <c r="K95" i="1" s="1"/>
  <c r="L95" i="1" a="1"/>
  <c r="L95" i="1" s="1"/>
  <c r="J98" i="1"/>
  <c r="K98" i="1"/>
  <c r="L98" i="1"/>
  <c r="J112" i="1" a="1"/>
  <c r="J112" i="1" s="1"/>
  <c r="K112" i="1" a="1"/>
  <c r="K112" i="1" s="1"/>
  <c r="L112" i="1" a="1"/>
  <c r="L112" i="1" s="1"/>
  <c r="J124" i="1" a="1"/>
  <c r="J124" i="1" s="1"/>
  <c r="K124" i="1" a="1"/>
  <c r="K124" i="1" s="1"/>
  <c r="L124" i="1" a="1"/>
  <c r="L124" i="1" s="1"/>
  <c r="J128" i="1" l="1"/>
  <c r="L128" i="1"/>
  <c r="K128" i="1"/>
  <c r="K145" i="1" l="1"/>
  <c r="K144" i="1"/>
  <c r="K143" i="1"/>
  <c r="K135" i="1"/>
  <c r="K134" i="1"/>
  <c r="L147" i="1"/>
  <c r="K147" i="1" a="1"/>
  <c r="K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I146" i="1" a="1"/>
  <c r="I146" i="1" s="1"/>
  <c r="L145" i="1" a="1"/>
  <c r="L145" i="1" s="1"/>
  <c r="J145" i="1" a="1"/>
  <c r="J145" i="1" s="1"/>
  <c r="I145" i="1" a="1"/>
  <c r="I145" i="1" s="1"/>
  <c r="L144" i="1" a="1"/>
  <c r="L144" i="1" s="1"/>
  <c r="J144" i="1"/>
  <c r="I144" i="1"/>
  <c r="L143" i="1" a="1"/>
  <c r="L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L141" i="1" a="1"/>
  <c r="L141" i="1" s="1"/>
  <c r="K141" i="1" a="1"/>
  <c r="K141" i="1" s="1"/>
  <c r="J141" i="1" a="1"/>
  <c r="J141" i="1" s="1"/>
  <c r="I141" i="1" a="1"/>
  <c r="I141" i="1" s="1"/>
  <c r="L140" i="1" a="1"/>
  <c r="L140" i="1" s="1"/>
  <c r="K140" i="1" a="1"/>
  <c r="K140" i="1" s="1"/>
  <c r="J140" i="1" a="1"/>
  <c r="J140" i="1" s="1"/>
  <c r="I140" i="1" a="1"/>
  <c r="I140" i="1" s="1"/>
  <c r="L139" i="1" a="1"/>
  <c r="L139" i="1" s="1"/>
  <c r="K139" i="1" a="1"/>
  <c r="K139" i="1" s="1"/>
  <c r="J139" i="1" a="1"/>
  <c r="J139" i="1" s="1"/>
  <c r="L136" i="1" a="1"/>
  <c r="L136" i="1" s="1"/>
  <c r="K136" i="1" a="1"/>
  <c r="J136" i="1" a="1"/>
  <c r="J136" i="1" s="1"/>
  <c r="I136" i="1" a="1"/>
  <c r="I136" i="1" s="1"/>
  <c r="L135" i="1" a="1"/>
  <c r="L135" i="1" s="1"/>
  <c r="J135" i="1" a="1"/>
  <c r="J135" i="1" s="1"/>
  <c r="I135" i="1" a="1"/>
  <c r="I135" i="1" s="1"/>
  <c r="L134" i="1"/>
  <c r="J134" i="1"/>
  <c r="I134" i="1"/>
  <c r="L152" i="1"/>
  <c r="I152" i="1"/>
  <c r="I150" i="1" l="1"/>
  <c r="J154" i="1"/>
  <c r="L154" i="1"/>
  <c r="I154" i="1"/>
  <c r="K152" i="1"/>
  <c r="K136" i="1"/>
  <c r="K150" i="1" s="1"/>
  <c r="J152" i="1"/>
  <c r="L150" i="1"/>
  <c r="J150" i="1"/>
  <c r="K154" i="1" l="1"/>
</calcChain>
</file>

<file path=xl/sharedStrings.xml><?xml version="1.0" encoding="utf-8"?>
<sst xmlns="http://schemas.openxmlformats.org/spreadsheetml/2006/main" count="373" uniqueCount="232">
  <si>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</si>
  <si>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</si>
  <si>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</si>
  <si>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</si>
  <si>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</si>
  <si>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</si>
  <si>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</si>
  <si>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</si>
  <si>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</si>
  <si>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</si>
  <si>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</si>
  <si>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</si>
  <si>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</si>
  <si>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</si>
  <si>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</si>
  <si>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</si>
  <si>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</si>
  <si>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</si>
  <si>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</si>
  <si>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</si>
  <si>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</si>
  <si>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</si>
  <si>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</si>
  <si>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</si>
  <si>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</si>
  <si>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</si>
  <si>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</si>
  <si>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</si>
  <si>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</si>
  <si>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</si>
  <si>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</si>
  <si>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</si>
  <si>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</si>
  <si>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</si>
  <si>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</si>
  <si>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</si>
  <si>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</si>
  <si>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</si>
  <si>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</si>
  <si>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</si>
  <si>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</si>
  <si>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</si>
  <si>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</si>
  <si>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</si>
  <si>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</si>
  <si>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</si>
  <si>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</si>
  <si>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</si>
  <si>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</si>
  <si>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</si>
  <si>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</si>
  <si>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</si>
  <si>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</si>
  <si>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</si>
  <si>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</si>
  <si>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</si>
  <si>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</si>
  <si>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</si>
  <si>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</si>
  <si>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</si>
  <si>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</si>
  <si>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</si>
  <si>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</si>
  <si>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</si>
  <si>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</si>
  <si>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</si>
  <si>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</si>
  <si>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</si>
  <si>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</si>
  <si>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</si>
  <si>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</si>
  <si>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</si>
  <si>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</si>
  <si>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</si>
  <si>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</si>
  <si>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</si>
  <si>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</si>
  <si>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</si>
  <si>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</si>
  <si>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</si>
  <si>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</si>
  <si>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</si>
  <si>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</si>
  <si>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</si>
  <si>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</si>
  <si>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</si>
  <si>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</si>
  <si>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</si>
  <si>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</si>
  <si>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</si>
  <si>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</si>
  <si>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</si>
  <si>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</si>
  <si>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</si>
  <si>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</si>
  <si>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</si>
  <si>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</si>
  <si>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</si>
  <si>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065188</t>
  </si>
  <si>
    <t>Ernie Eads</t>
  </si>
  <si>
    <t>Alaska Milling &amp; Fabrication LLC</t>
  </si>
  <si>
    <t>JK Forest Products LLC</t>
  </si>
  <si>
    <t>Jerry Baker</t>
  </si>
  <si>
    <t xml:space="preserve"> </t>
  </si>
  <si>
    <t>065253</t>
  </si>
  <si>
    <t>James Stevens</t>
  </si>
  <si>
    <t>Snakey 70A</t>
  </si>
  <si>
    <t>065311</t>
  </si>
  <si>
    <t>Andrew Cowan</t>
  </si>
  <si>
    <t>William Kaufman</t>
  </si>
  <si>
    <t>002778</t>
  </si>
  <si>
    <t>Turnagain Quarry Settlement 2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</si>
  <si>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</si>
  <si>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</si>
  <si>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</si>
  <si>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</si>
  <si>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</si>
  <si>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</si>
  <si>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</si>
  <si>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</si>
  <si>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</si>
  <si>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</si>
  <si>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</si>
  <si>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</si>
  <si>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</si>
  <si>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</si>
  <si>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</si>
  <si>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</si>
  <si>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</si>
  <si>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</si>
  <si>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</si>
  <si>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</si>
  <si>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</si>
  <si>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</si>
  <si>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</si>
  <si>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</si>
  <si>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</si>
  <si>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</si>
  <si>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</si>
  <si>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</si>
  <si>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</si>
  <si>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</si>
  <si>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</si>
  <si>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</si>
  <si>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</si>
  <si>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</si>
  <si>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</si>
  <si>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</si>
  <si>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</si>
  <si>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</si>
  <si>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</si>
  <si>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</si>
  <si>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</si>
  <si>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</si>
  <si>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</si>
  <si>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</si>
  <si>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</si>
  <si>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</si>
  <si>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</si>
  <si>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</si>
  <si>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</si>
  <si>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</si>
  <si>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</si>
  <si>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</si>
  <si>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</si>
  <si>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</si>
  <si>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</si>
  <si>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</si>
  <si>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</si>
  <si>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</si>
  <si>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</si>
  <si>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</si>
  <si>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</si>
  <si>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</si>
  <si>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</si>
  <si>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</si>
  <si>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</si>
  <si>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</si>
  <si>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</si>
  <si>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065956</t>
  </si>
  <si>
    <t>MISS BRAVO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</si>
  <si>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</si>
  <si>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</si>
  <si>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</si>
  <si>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</si>
  <si>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</si>
  <si>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</si>
  <si>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</si>
  <si>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</si>
  <si>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</si>
  <si>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</si>
  <si>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</si>
  <si>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066046</t>
  </si>
  <si>
    <t>Beaver Flats</t>
  </si>
  <si>
    <t>Puddle Duck YG</t>
  </si>
  <si>
    <t>066061</t>
  </si>
  <si>
    <t>Twelvemile Decks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</si>
  <si>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</si>
  <si>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</si>
  <si>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</si>
  <si>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</si>
  <si>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</si>
  <si>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</si>
  <si>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</si>
  <si>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</si>
  <si>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</si>
  <si>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</si>
  <si>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</si>
  <si>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</si>
  <si>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</si>
  <si>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</si>
  <si>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</si>
  <si>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</si>
  <si>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</si>
  <si>
    <t>002893</t>
  </si>
  <si>
    <t>Creekside Fuelwood</t>
  </si>
  <si>
    <t>002901</t>
  </si>
  <si>
    <t>002919</t>
  </si>
  <si>
    <t>002927</t>
  </si>
  <si>
    <t>Evergreen Alaska Inc.</t>
  </si>
  <si>
    <t>Devils Fuelwood</t>
  </si>
  <si>
    <t>Eastside Fuelwood</t>
  </si>
  <si>
    <t>Strip Fuelwood</t>
  </si>
  <si>
    <t>Naukati MW</t>
  </si>
  <si>
    <t>Sarkar MW</t>
  </si>
  <si>
    <t>Upper Staney MW</t>
  </si>
  <si>
    <t>066152</t>
  </si>
  <si>
    <t>066178</t>
  </si>
  <si>
    <t>066160</t>
  </si>
  <si>
    <t>066186</t>
  </si>
  <si>
    <t>Microsale #289</t>
  </si>
  <si>
    <t>U.S. Forest Service, Alaska Region, Remaining Timber Sales Volumes and Values on February 28,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</si>
</sst>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94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Fill="1" applyAlignment="1">
      <alignment horizontal="center" vertical="center" wrapText="1"/>
    </xf>
    <xf numFmtId="0" fontId="35" fillId="0" borderId="0" xfId="0" applyFont="1" applyFill="1" applyAlignment="1">
      <alignment horizontal="center"/>
    </xf>
    <xf numFmtId="49" fontId="35" fillId="0" borderId="0" xfId="0" applyNumberFormat="1" applyFont="1" applyFill="1" applyAlignment="1">
      <alignment horizontal="center"/>
    </xf>
    <xf numFmtId="14" fontId="35" fillId="0" borderId="0" xfId="0" applyNumberFormat="1" applyFont="1" applyFill="1" applyAlignment="1">
      <alignment horizontal="center"/>
    </xf>
    <xf numFmtId="0" fontId="35" fillId="0" borderId="0" xfId="0" applyFont="1" applyFill="1" applyAlignment="1">
      <alignment horizontal="left" vertical="center"/>
    </xf>
    <xf numFmtId="0" fontId="35" fillId="0" borderId="0" xfId="0" applyFont="1" applyFill="1"/>
    <xf numFmtId="4" fontId="35" fillId="0" borderId="0" xfId="0" applyNumberFormat="1" applyFont="1" applyFill="1"/>
    <xf numFmtId="164" fontId="35" fillId="0" borderId="0" xfId="0" applyNumberFormat="1" applyFont="1" applyFill="1"/>
    <xf numFmtId="0" fontId="36" fillId="0" borderId="0" xfId="0" applyFont="1" applyFill="1"/>
    <xf numFmtId="164" fontId="36" fillId="0" borderId="0" xfId="0" applyNumberFormat="1" applyFont="1" applyFill="1"/>
    <xf numFmtId="0" fontId="35" fillId="0" borderId="0" xfId="0" applyFont="1" applyFill="1" applyAlignment="1">
      <alignment vertical="center"/>
    </xf>
    <xf numFmtId="0" fontId="54" fillId="0" borderId="0" xfId="155" applyFont="1" applyFill="1" applyAlignment="1">
      <alignment vertical="center"/>
    </xf>
    <xf numFmtId="0" fontId="54" fillId="0" borderId="0" xfId="0" applyFont="1" applyFill="1"/>
    <xf numFmtId="0" fontId="35" fillId="0" borderId="0" xfId="0" applyFont="1" applyFill="1" applyAlignment="1">
      <alignment vertical="center" wrapText="1"/>
    </xf>
    <xf numFmtId="0" fontId="54" fillId="0" borderId="0" xfId="39" applyFont="1" applyFill="1" applyAlignment="1">
      <alignment vertical="center"/>
    </xf>
    <xf numFmtId="0" fontId="54" fillId="0" borderId="0" xfId="588" applyFont="1" applyFill="1" applyAlignment="1">
      <alignment vertical="center"/>
    </xf>
    <xf numFmtId="0" fontId="54" fillId="0" borderId="0" xfId="588" applyFont="1" applyFill="1"/>
    <xf numFmtId="0" fontId="54" fillId="0" borderId="0" xfId="588" applyFont="1" applyFill="1" applyAlignment="1">
      <alignment horizontal="left" wrapText="1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8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40625" defaultRowHeight="15" x14ac:dyDescent="0.2"/>
  <cols>
    <col min="1" max="1" width="13.140625" style="7" customWidth="1"/>
    <col min="2" max="2" width="10.5703125" style="69" bestFit="1" customWidth="1"/>
    <col min="3" max="3" width="12.85546875" style="69" customWidth="1"/>
    <col min="4" max="4" width="9.28515625" style="69" customWidth="1"/>
    <col min="5" max="6" width="14" style="19" customWidth="1"/>
    <col min="7" max="7" width="53.5703125" style="7" bestFit="1" customWidth="1"/>
    <col min="8" max="8" width="34.28515625" style="8" bestFit="1" customWidth="1"/>
    <col min="9" max="9" width="15" style="20" customWidth="1"/>
    <col min="10" max="10" width="14.140625" style="20" customWidth="1"/>
    <col min="11" max="11" width="14.28515625" style="20" customWidth="1"/>
    <col min="12" max="12" width="17" style="20" customWidth="1"/>
    <col min="13" max="15" width="9.140625" style="7"/>
    <col min="16" max="16" width="14.140625" style="7" bestFit="1" customWidth="1"/>
    <col min="17" max="16384" width="9.140625" style="7"/>
  </cols>
  <sheetData>
    <row r="1" spans="1:16" ht="30" customHeight="1" x14ac:dyDescent="0.2">
      <c r="A1" s="12" t="s">
        <v>231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6" ht="30" customHeight="1" x14ac:dyDescent="0.2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6" s="50" customFormat="1" ht="25.15" customHeight="1" x14ac:dyDescent="0.2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6" s="84" customFormat="1" ht="15.75" x14ac:dyDescent="0.25">
      <c r="A4" s="76" t="s">
        <v>7</v>
      </c>
      <c r="B4" s="77">
        <v>100554</v>
      </c>
      <c r="C4" s="78" t="s">
        <v>228</v>
      </c>
      <c r="D4" s="77" t="s">
        <v>44</v>
      </c>
      <c r="E4" s="79">
        <v>45636</v>
      </c>
      <c r="F4" s="79">
        <v>46326</v>
      </c>
      <c r="G4" s="80" t="s">
        <v>100</v>
      </c>
      <c r="H4" s="81" t="s">
        <v>223</v>
      </c>
      <c r="I4" s="81">
        <v>58.43</v>
      </c>
      <c r="J4" s="82">
        <v>0</v>
      </c>
      <c r="K4" s="82">
        <f t="shared" ref="K4" si="0">I4-J4</f>
        <v>58.43</v>
      </c>
      <c r="L4" s="83">
        <v>52788.15</v>
      </c>
    </row>
    <row r="5" spans="1:16" s="84" customFormat="1" ht="15.75" x14ac:dyDescent="0.25">
      <c r="A5" s="76" t="s">
        <v>7</v>
      </c>
      <c r="B5" s="77">
        <v>100554</v>
      </c>
      <c r="C5" s="78" t="s">
        <v>227</v>
      </c>
      <c r="D5" s="77" t="s">
        <v>44</v>
      </c>
      <c r="E5" s="79">
        <v>45636</v>
      </c>
      <c r="F5" s="79">
        <v>46326</v>
      </c>
      <c r="G5" s="80" t="s">
        <v>100</v>
      </c>
      <c r="H5" s="81" t="s">
        <v>224</v>
      </c>
      <c r="I5" s="81">
        <v>13.77</v>
      </c>
      <c r="J5" s="82">
        <v>0</v>
      </c>
      <c r="K5" s="82">
        <f>I5-J5</f>
        <v>13.77</v>
      </c>
      <c r="L5" s="83">
        <v>12874.95</v>
      </c>
    </row>
    <row r="6" spans="1:16" s="84" customFormat="1" ht="15.75" x14ac:dyDescent="0.25">
      <c r="A6" s="76" t="s">
        <v>7</v>
      </c>
      <c r="B6" s="77">
        <v>100554</v>
      </c>
      <c r="C6" s="78" t="s">
        <v>226</v>
      </c>
      <c r="D6" s="77" t="s">
        <v>44</v>
      </c>
      <c r="E6" s="79">
        <v>45636</v>
      </c>
      <c r="F6" s="79">
        <v>46326</v>
      </c>
      <c r="G6" s="80" t="s">
        <v>100</v>
      </c>
      <c r="H6" s="81" t="s">
        <v>225</v>
      </c>
      <c r="I6" s="81">
        <v>87.34</v>
      </c>
      <c r="J6" s="82">
        <v>0</v>
      </c>
      <c r="K6" s="82">
        <f>I6-J6</f>
        <v>87.34</v>
      </c>
      <c r="L6" s="83">
        <v>91707</v>
      </c>
      <c r="P6" s="85"/>
    </row>
    <row r="7" spans="1:16" s="86" customFormat="1" ht="15" customHeight="1" x14ac:dyDescent="0.2">
      <c r="A7" s="86" t="str">
        <f>LOOKUP(B7,B$75:C$87)</f>
        <v>Wrangell</v>
      </c>
      <c r="B7" s="77">
        <v>100522</v>
      </c>
      <c r="C7" s="78" t="s">
        <v>34</v>
      </c>
      <c r="D7" s="77">
        <v>13</v>
      </c>
      <c r="E7" s="79">
        <v>40799</v>
      </c>
      <c r="F7" s="79">
        <v>44703</v>
      </c>
      <c r="G7" s="86" t="s">
        <v>4</v>
      </c>
      <c r="H7" s="87" t="s">
        <v>32</v>
      </c>
      <c r="I7" s="82">
        <v>28749.17</v>
      </c>
      <c r="J7" s="82">
        <v>28749.17</v>
      </c>
      <c r="K7" s="82">
        <f>I7-J7</f>
        <v>0</v>
      </c>
      <c r="L7" s="83">
        <v>0</v>
      </c>
      <c r="M7" s="88"/>
    </row>
    <row r="8" spans="1:16" s="86" customFormat="1" ht="15" customHeight="1" x14ac:dyDescent="0.2">
      <c r="A8" s="86" t="s">
        <v>10</v>
      </c>
      <c r="B8" s="77">
        <v>100552</v>
      </c>
      <c r="C8" s="78" t="s">
        <v>188</v>
      </c>
      <c r="D8" s="77" t="s">
        <v>44</v>
      </c>
      <c r="E8" s="79">
        <v>45196</v>
      </c>
      <c r="F8" s="79">
        <v>45961</v>
      </c>
      <c r="G8" s="86" t="s">
        <v>46</v>
      </c>
      <c r="H8" s="87" t="s">
        <v>189</v>
      </c>
      <c r="I8" s="82">
        <v>291.19</v>
      </c>
      <c r="J8" s="82">
        <v>291.19</v>
      </c>
      <c r="K8" s="82">
        <f t="shared" ref="K8:K10" si="1">I8-J8</f>
        <v>0</v>
      </c>
      <c r="L8" s="83">
        <v>0</v>
      </c>
      <c r="M8" s="88"/>
    </row>
    <row r="9" spans="1:16" s="86" customFormat="1" ht="15" customHeight="1" x14ac:dyDescent="0.2">
      <c r="A9" s="86" t="s">
        <v>12</v>
      </c>
      <c r="B9" s="77">
        <v>100521</v>
      </c>
      <c r="C9" s="78" t="s">
        <v>206</v>
      </c>
      <c r="D9" s="77" t="s">
        <v>44</v>
      </c>
      <c r="E9" s="79">
        <v>45545</v>
      </c>
      <c r="F9" s="79">
        <v>45547</v>
      </c>
      <c r="G9" s="86" t="s">
        <v>108</v>
      </c>
      <c r="H9" s="87" t="s">
        <v>207</v>
      </c>
      <c r="I9" s="82">
        <v>4.1900000000000004</v>
      </c>
      <c r="J9" s="82">
        <v>4.1900000000000004</v>
      </c>
      <c r="K9" s="82">
        <f t="shared" si="1"/>
        <v>0</v>
      </c>
      <c r="L9" s="83">
        <v>255.34</v>
      </c>
      <c r="M9" s="88"/>
    </row>
    <row r="10" spans="1:16" s="86" customFormat="1" ht="15" customHeight="1" x14ac:dyDescent="0.2">
      <c r="A10" s="86" t="s">
        <v>7</v>
      </c>
      <c r="B10" s="77">
        <v>100554</v>
      </c>
      <c r="C10" s="78" t="s">
        <v>197</v>
      </c>
      <c r="D10" s="77" t="s">
        <v>50</v>
      </c>
      <c r="E10" s="79">
        <v>45398</v>
      </c>
      <c r="F10" s="79">
        <v>45792</v>
      </c>
      <c r="G10" s="86" t="s">
        <v>144</v>
      </c>
      <c r="H10" s="87" t="s">
        <v>198</v>
      </c>
      <c r="I10" s="82">
        <v>8.16</v>
      </c>
      <c r="J10" s="82">
        <v>7.76</v>
      </c>
      <c r="K10" s="82">
        <f t="shared" si="1"/>
        <v>0.40000000000000036</v>
      </c>
      <c r="L10" s="83">
        <v>0.8</v>
      </c>
      <c r="M10" s="88"/>
    </row>
    <row r="11" spans="1:16" s="86" customFormat="1" ht="15" customHeight="1" x14ac:dyDescent="0.2">
      <c r="A11" s="86" t="s">
        <v>11</v>
      </c>
      <c r="B11" s="77">
        <v>100533</v>
      </c>
      <c r="C11" s="78" t="s">
        <v>150</v>
      </c>
      <c r="D11" s="77" t="s">
        <v>44</v>
      </c>
      <c r="E11" s="79">
        <v>44788</v>
      </c>
      <c r="F11" s="79">
        <v>45960</v>
      </c>
      <c r="G11" s="88" t="s">
        <v>149</v>
      </c>
      <c r="H11" s="88" t="s">
        <v>151</v>
      </c>
      <c r="I11" s="82">
        <v>278</v>
      </c>
      <c r="J11" s="82">
        <v>0</v>
      </c>
      <c r="K11" s="82">
        <f>SUM(I11-J11)</f>
        <v>278</v>
      </c>
      <c r="L11" s="83">
        <v>1812</v>
      </c>
      <c r="M11" s="88"/>
    </row>
    <row r="12" spans="1:16" s="86" customFormat="1" ht="15" customHeight="1" x14ac:dyDescent="0.2">
      <c r="A12" s="86" t="s">
        <v>11</v>
      </c>
      <c r="B12" s="77">
        <v>100533</v>
      </c>
      <c r="C12" s="78" t="s">
        <v>168</v>
      </c>
      <c r="D12" s="77" t="s">
        <v>44</v>
      </c>
      <c r="E12" s="79">
        <v>45006</v>
      </c>
      <c r="F12" s="79">
        <v>46082</v>
      </c>
      <c r="G12" s="88" t="s">
        <v>149</v>
      </c>
      <c r="H12" s="88" t="s">
        <v>169</v>
      </c>
      <c r="I12" s="82">
        <v>1024.57</v>
      </c>
      <c r="J12" s="82">
        <v>0</v>
      </c>
      <c r="K12" s="82">
        <f>SUM(I12-J12)</f>
        <v>1024.57</v>
      </c>
      <c r="L12" s="83">
        <v>3596.98</v>
      </c>
      <c r="M12" s="88"/>
    </row>
    <row r="13" spans="1:16" s="86" customFormat="1" ht="15" customHeight="1" x14ac:dyDescent="0.2">
      <c r="A13" s="86" t="s">
        <v>8</v>
      </c>
      <c r="B13" s="77">
        <v>100532</v>
      </c>
      <c r="C13" s="78" t="s">
        <v>124</v>
      </c>
      <c r="D13" s="77" t="s">
        <v>44</v>
      </c>
      <c r="E13" s="79">
        <v>44112</v>
      </c>
      <c r="F13" s="79">
        <v>46326</v>
      </c>
      <c r="G13" s="88" t="s">
        <v>125</v>
      </c>
      <c r="H13" s="88" t="s">
        <v>126</v>
      </c>
      <c r="I13" s="82">
        <v>161.22</v>
      </c>
      <c r="J13" s="82">
        <v>0</v>
      </c>
      <c r="K13" s="82">
        <v>161.22</v>
      </c>
      <c r="L13" s="83">
        <v>22783.21</v>
      </c>
      <c r="M13" s="88"/>
    </row>
    <row r="14" spans="1:16" s="86" customFormat="1" ht="15" customHeight="1" x14ac:dyDescent="0.2">
      <c r="A14" s="86" t="s">
        <v>7</v>
      </c>
      <c r="B14" s="77">
        <v>100554</v>
      </c>
      <c r="C14" s="78" t="s">
        <v>201</v>
      </c>
      <c r="D14" s="77">
        <v>4</v>
      </c>
      <c r="E14" s="79">
        <v>45524</v>
      </c>
      <c r="F14" s="79">
        <v>45918</v>
      </c>
      <c r="G14" s="88" t="s">
        <v>202</v>
      </c>
      <c r="H14" s="88" t="s">
        <v>203</v>
      </c>
      <c r="I14" s="82">
        <v>0.98</v>
      </c>
      <c r="J14" s="82">
        <v>0</v>
      </c>
      <c r="K14" s="82">
        <f>SUM(I14-J14)</f>
        <v>0.98</v>
      </c>
      <c r="L14" s="83">
        <v>114.68</v>
      </c>
      <c r="M14" s="88"/>
    </row>
    <row r="15" spans="1:16" s="86" customFormat="1" ht="15" customHeight="1" x14ac:dyDescent="0.2">
      <c r="A15" s="86" t="s">
        <v>22</v>
      </c>
      <c r="B15" s="77">
        <v>100531</v>
      </c>
      <c r="C15" s="78" t="s">
        <v>158</v>
      </c>
      <c r="D15" s="77" t="s">
        <v>44</v>
      </c>
      <c r="E15" s="79">
        <v>44862</v>
      </c>
      <c r="F15" s="79">
        <v>45961</v>
      </c>
      <c r="G15" s="86" t="s">
        <v>159</v>
      </c>
      <c r="H15" s="86" t="s">
        <v>160</v>
      </c>
      <c r="I15" s="82">
        <v>35.47</v>
      </c>
      <c r="J15" s="82">
        <v>29.02</v>
      </c>
      <c r="K15" s="82">
        <f>(I15-J15)</f>
        <v>6.4499999999999993</v>
      </c>
      <c r="L15" s="83">
        <v>13.61</v>
      </c>
      <c r="M15" s="88"/>
    </row>
    <row r="16" spans="1:16" s="86" customFormat="1" ht="15" customHeight="1" x14ac:dyDescent="0.2">
      <c r="A16" s="86" t="str">
        <f>LOOKUP(B16,B$75:C$87)</f>
        <v>Juneau</v>
      </c>
      <c r="B16" s="77">
        <v>100533</v>
      </c>
      <c r="C16" s="78" t="s">
        <v>41</v>
      </c>
      <c r="D16" s="77" t="s">
        <v>44</v>
      </c>
      <c r="E16" s="79">
        <v>41948</v>
      </c>
      <c r="F16" s="79">
        <v>45596</v>
      </c>
      <c r="G16" s="89" t="s">
        <v>29</v>
      </c>
      <c r="H16" s="90" t="s">
        <v>40</v>
      </c>
      <c r="I16" s="82">
        <v>737.59</v>
      </c>
      <c r="J16" s="82">
        <v>28</v>
      </c>
      <c r="K16" s="82">
        <v>709.59</v>
      </c>
      <c r="L16" s="83">
        <v>10766.84</v>
      </c>
      <c r="M16" s="88"/>
    </row>
    <row r="17" spans="1:13" s="86" customFormat="1" ht="15" customHeight="1" x14ac:dyDescent="0.2">
      <c r="A17" s="86" t="str">
        <f>LOOKUP(B17,B$75:C$87)</f>
        <v>Juneau</v>
      </c>
      <c r="B17" s="77">
        <v>100533</v>
      </c>
      <c r="C17" s="78" t="s">
        <v>38</v>
      </c>
      <c r="D17" s="77" t="s">
        <v>44</v>
      </c>
      <c r="E17" s="79">
        <v>41786</v>
      </c>
      <c r="F17" s="79">
        <v>45596</v>
      </c>
      <c r="G17" s="89" t="s">
        <v>29</v>
      </c>
      <c r="H17" s="90" t="s">
        <v>47</v>
      </c>
      <c r="I17" s="82">
        <v>158.33000000000001</v>
      </c>
      <c r="J17" s="82">
        <v>158.33000000000001</v>
      </c>
      <c r="K17" s="82">
        <f>I17-J17</f>
        <v>0</v>
      </c>
      <c r="L17" s="83">
        <v>0</v>
      </c>
      <c r="M17" s="88"/>
    </row>
    <row r="18" spans="1:13" s="86" customFormat="1" ht="15" customHeight="1" x14ac:dyDescent="0.2">
      <c r="A18" s="86" t="s">
        <v>8</v>
      </c>
      <c r="B18" s="77">
        <v>100532</v>
      </c>
      <c r="C18" s="78" t="s">
        <v>98</v>
      </c>
      <c r="D18" s="77" t="s">
        <v>44</v>
      </c>
      <c r="E18" s="79">
        <v>43314</v>
      </c>
      <c r="F18" s="79">
        <v>46326</v>
      </c>
      <c r="G18" s="86" t="s">
        <v>5</v>
      </c>
      <c r="H18" s="86" t="s">
        <v>96</v>
      </c>
      <c r="I18" s="82">
        <v>254.58</v>
      </c>
      <c r="J18" s="82">
        <v>92.2</v>
      </c>
      <c r="K18" s="82">
        <f>I18-J18</f>
        <v>162.38</v>
      </c>
      <c r="L18" s="83">
        <v>7826.81</v>
      </c>
      <c r="M18" s="88"/>
    </row>
    <row r="19" spans="1:13" s="86" customFormat="1" ht="15" customHeight="1" x14ac:dyDescent="0.2">
      <c r="A19" s="86" t="s">
        <v>8</v>
      </c>
      <c r="B19" s="77">
        <v>100532</v>
      </c>
      <c r="C19" s="78" t="s">
        <v>117</v>
      </c>
      <c r="D19" s="77" t="s">
        <v>44</v>
      </c>
      <c r="E19" s="79">
        <v>43993</v>
      </c>
      <c r="F19" s="79">
        <v>45961</v>
      </c>
      <c r="G19" s="86" t="s">
        <v>5</v>
      </c>
      <c r="H19" s="86" t="s">
        <v>118</v>
      </c>
      <c r="I19" s="82">
        <v>150.49</v>
      </c>
      <c r="J19" s="82">
        <v>0</v>
      </c>
      <c r="K19" s="82">
        <f>I19-J19</f>
        <v>150.49</v>
      </c>
      <c r="L19" s="83">
        <v>4025.71</v>
      </c>
      <c r="M19" s="88"/>
    </row>
    <row r="20" spans="1:13" s="86" customFormat="1" ht="15" customHeight="1" x14ac:dyDescent="0.2">
      <c r="A20" s="86" t="s">
        <v>8</v>
      </c>
      <c r="B20" s="77">
        <v>100532</v>
      </c>
      <c r="C20" s="78" t="s">
        <v>119</v>
      </c>
      <c r="D20" s="77" t="s">
        <v>44</v>
      </c>
      <c r="E20" s="79">
        <v>43993</v>
      </c>
      <c r="F20" s="79">
        <v>45961</v>
      </c>
      <c r="G20" s="86" t="s">
        <v>5</v>
      </c>
      <c r="H20" s="86" t="s">
        <v>122</v>
      </c>
      <c r="I20" s="82">
        <v>99.87</v>
      </c>
      <c r="J20" s="82">
        <v>77.75</v>
      </c>
      <c r="K20" s="82">
        <f>I20-J20</f>
        <v>22.120000000000005</v>
      </c>
      <c r="L20" s="83">
        <v>704.25</v>
      </c>
      <c r="M20" s="88"/>
    </row>
    <row r="21" spans="1:13" s="86" customFormat="1" ht="15.6" customHeight="1" x14ac:dyDescent="0.2">
      <c r="A21" s="86" t="s">
        <v>7</v>
      </c>
      <c r="B21" s="77">
        <v>100554</v>
      </c>
      <c r="C21" s="78" t="s">
        <v>107</v>
      </c>
      <c r="D21" s="78" t="s">
        <v>44</v>
      </c>
      <c r="E21" s="79">
        <v>43634</v>
      </c>
      <c r="F21" s="79">
        <v>46326</v>
      </c>
      <c r="G21" s="86" t="s">
        <v>105</v>
      </c>
      <c r="H21" s="86" t="s">
        <v>106</v>
      </c>
      <c r="I21" s="82">
        <v>156</v>
      </c>
      <c r="J21" s="82">
        <v>0</v>
      </c>
      <c r="K21" s="82">
        <v>156</v>
      </c>
      <c r="L21" s="83">
        <v>31251.96</v>
      </c>
      <c r="M21" s="88"/>
    </row>
    <row r="22" spans="1:13" s="86" customFormat="1" ht="15.6" customHeight="1" x14ac:dyDescent="0.2">
      <c r="A22" s="86" t="s">
        <v>7</v>
      </c>
      <c r="B22" s="77">
        <v>100554</v>
      </c>
      <c r="C22" s="78" t="s">
        <v>94</v>
      </c>
      <c r="D22" s="78">
        <v>6</v>
      </c>
      <c r="E22" s="79">
        <v>43276</v>
      </c>
      <c r="F22" s="79">
        <v>45961</v>
      </c>
      <c r="G22" s="86" t="s">
        <v>101</v>
      </c>
      <c r="H22" s="86" t="s">
        <v>95</v>
      </c>
      <c r="I22" s="82">
        <v>533.80999999999995</v>
      </c>
      <c r="J22" s="82">
        <v>337.08</v>
      </c>
      <c r="K22" s="82">
        <f>I22-J22</f>
        <v>196.72999999999996</v>
      </c>
      <c r="L22" s="83">
        <v>1406.73</v>
      </c>
      <c r="M22" s="88"/>
    </row>
    <row r="23" spans="1:13" s="86" customFormat="1" ht="15.6" customHeight="1" x14ac:dyDescent="0.2">
      <c r="A23" s="86" t="s">
        <v>7</v>
      </c>
      <c r="B23" s="77">
        <v>100554</v>
      </c>
      <c r="C23" s="78" t="s">
        <v>172</v>
      </c>
      <c r="D23" s="78" t="s">
        <v>44</v>
      </c>
      <c r="E23" s="79">
        <v>45090</v>
      </c>
      <c r="F23" s="79">
        <v>46660</v>
      </c>
      <c r="G23" s="86" t="s">
        <v>101</v>
      </c>
      <c r="H23" s="86" t="s">
        <v>173</v>
      </c>
      <c r="I23" s="82">
        <v>42.91</v>
      </c>
      <c r="J23" s="82">
        <v>0</v>
      </c>
      <c r="K23" s="82">
        <f>SUM(I23-J23)</f>
        <v>42.91</v>
      </c>
      <c r="L23" s="83">
        <v>6761.63</v>
      </c>
      <c r="M23" s="88"/>
    </row>
    <row r="24" spans="1:13" s="86" customFormat="1" ht="15.6" customHeight="1" x14ac:dyDescent="0.2">
      <c r="A24" s="86" t="s">
        <v>7</v>
      </c>
      <c r="B24" s="77">
        <v>100554</v>
      </c>
      <c r="C24" s="78" t="s">
        <v>156</v>
      </c>
      <c r="D24" s="78" t="s">
        <v>44</v>
      </c>
      <c r="E24" s="79">
        <v>44817</v>
      </c>
      <c r="F24" s="79">
        <v>46996</v>
      </c>
      <c r="G24" s="86" t="s">
        <v>101</v>
      </c>
      <c r="H24" s="86" t="s">
        <v>157</v>
      </c>
      <c r="I24" s="82">
        <v>112.34</v>
      </c>
      <c r="J24" s="82">
        <v>0</v>
      </c>
      <c r="K24" s="82">
        <f>I24-J24</f>
        <v>112.34</v>
      </c>
      <c r="L24" s="83">
        <v>3556.05</v>
      </c>
      <c r="M24" s="88"/>
    </row>
    <row r="25" spans="1:13" s="86" customFormat="1" ht="15.6" customHeight="1" x14ac:dyDescent="0.2">
      <c r="A25" s="86" t="s">
        <v>7</v>
      </c>
      <c r="B25" s="77">
        <v>100554</v>
      </c>
      <c r="C25" s="78" t="s">
        <v>199</v>
      </c>
      <c r="D25" s="78" t="s">
        <v>44</v>
      </c>
      <c r="E25" s="79">
        <v>45517</v>
      </c>
      <c r="F25" s="79">
        <v>46691</v>
      </c>
      <c r="G25" s="86" t="s">
        <v>101</v>
      </c>
      <c r="H25" s="86" t="s">
        <v>200</v>
      </c>
      <c r="I25" s="82">
        <v>294.13</v>
      </c>
      <c r="J25" s="82">
        <v>0</v>
      </c>
      <c r="K25" s="82">
        <f>SUM(I25-J25)</f>
        <v>294.13</v>
      </c>
      <c r="L25" s="83">
        <v>5529.04</v>
      </c>
      <c r="M25" s="88"/>
    </row>
    <row r="26" spans="1:13" s="86" customFormat="1" ht="15.6" customHeight="1" x14ac:dyDescent="0.2">
      <c r="A26" s="86" t="s">
        <v>7</v>
      </c>
      <c r="B26" s="77">
        <v>100554</v>
      </c>
      <c r="C26" s="78" t="s">
        <v>192</v>
      </c>
      <c r="D26" s="78" t="s">
        <v>44</v>
      </c>
      <c r="E26" s="79">
        <v>45244</v>
      </c>
      <c r="F26" s="79">
        <v>46326</v>
      </c>
      <c r="G26" s="86" t="s">
        <v>101</v>
      </c>
      <c r="H26" s="86" t="s">
        <v>194</v>
      </c>
      <c r="I26" s="82">
        <v>223.92</v>
      </c>
      <c r="J26" s="82">
        <v>0</v>
      </c>
      <c r="K26" s="82">
        <f>SUM(I26-J26)</f>
        <v>223.92</v>
      </c>
      <c r="L26" s="83">
        <v>4192.32</v>
      </c>
      <c r="M26" s="88"/>
    </row>
    <row r="27" spans="1:13" s="86" customFormat="1" ht="15" customHeight="1" x14ac:dyDescent="0.2">
      <c r="A27" s="86" t="s">
        <v>12</v>
      </c>
      <c r="B27" s="77">
        <v>100521</v>
      </c>
      <c r="C27" s="78" t="s">
        <v>181</v>
      </c>
      <c r="D27" s="77" t="s">
        <v>44</v>
      </c>
      <c r="E27" s="79">
        <v>45118</v>
      </c>
      <c r="F27" s="79">
        <v>46311</v>
      </c>
      <c r="G27" s="86" t="s">
        <v>72</v>
      </c>
      <c r="H27" s="86" t="s">
        <v>182</v>
      </c>
      <c r="I27" s="82">
        <v>2.84</v>
      </c>
      <c r="J27" s="82">
        <v>0.48</v>
      </c>
      <c r="K27" s="82">
        <f>I27-J27</f>
        <v>2.36</v>
      </c>
      <c r="L27" s="83">
        <v>343.32</v>
      </c>
      <c r="M27" s="88"/>
    </row>
    <row r="28" spans="1:13" s="86" customFormat="1" ht="15" customHeight="1" x14ac:dyDescent="0.2">
      <c r="A28" s="86" t="str">
        <f>LOOKUP(B28,B$75:C$87)</f>
        <v>Wrangell</v>
      </c>
      <c r="B28" s="77">
        <v>100522</v>
      </c>
      <c r="C28" s="78" t="s">
        <v>74</v>
      </c>
      <c r="D28" s="77">
        <v>6</v>
      </c>
      <c r="E28" s="79">
        <v>42640</v>
      </c>
      <c r="F28" s="79">
        <v>45961</v>
      </c>
      <c r="G28" s="86" t="s">
        <v>42</v>
      </c>
      <c r="H28" s="88" t="s">
        <v>73</v>
      </c>
      <c r="I28" s="82">
        <v>9802.6299999999992</v>
      </c>
      <c r="J28" s="82">
        <v>6146.64</v>
      </c>
      <c r="K28" s="82">
        <f t="shared" ref="K28" si="2">I28-J28</f>
        <v>3655.9899999999989</v>
      </c>
      <c r="L28" s="83">
        <v>19835.759999999998</v>
      </c>
      <c r="M28" s="88"/>
    </row>
    <row r="29" spans="1:13" s="86" customFormat="1" ht="15" customHeight="1" x14ac:dyDescent="0.2">
      <c r="A29" s="86" t="s">
        <v>13</v>
      </c>
      <c r="B29" s="77">
        <v>100522</v>
      </c>
      <c r="C29" s="78" t="s">
        <v>154</v>
      </c>
      <c r="D29" s="77">
        <v>6</v>
      </c>
      <c r="E29" s="79">
        <v>44831</v>
      </c>
      <c r="F29" s="79">
        <v>48487</v>
      </c>
      <c r="G29" s="86" t="s">
        <v>42</v>
      </c>
      <c r="H29" s="86" t="s">
        <v>155</v>
      </c>
      <c r="I29" s="82">
        <v>2652</v>
      </c>
      <c r="J29" s="82">
        <v>1183.99</v>
      </c>
      <c r="K29" s="82">
        <f t="shared" ref="K29:K38" si="3">I29-J29</f>
        <v>1468.01</v>
      </c>
      <c r="L29" s="83">
        <v>21228.87</v>
      </c>
      <c r="M29" s="88"/>
    </row>
    <row r="30" spans="1:13" s="86" customFormat="1" ht="15" customHeight="1" x14ac:dyDescent="0.2">
      <c r="A30" s="86" t="s">
        <v>13</v>
      </c>
      <c r="B30" s="77">
        <v>100522</v>
      </c>
      <c r="C30" s="78" t="s">
        <v>183</v>
      </c>
      <c r="D30" s="77" t="s">
        <v>44</v>
      </c>
      <c r="E30" s="79">
        <v>45167</v>
      </c>
      <c r="F30" s="79">
        <v>46326</v>
      </c>
      <c r="G30" s="86" t="s">
        <v>139</v>
      </c>
      <c r="H30" s="86" t="s">
        <v>184</v>
      </c>
      <c r="I30" s="82">
        <v>131.97999999999999</v>
      </c>
      <c r="J30" s="82">
        <v>0</v>
      </c>
      <c r="K30" s="82">
        <f t="shared" si="3"/>
        <v>131.97999999999999</v>
      </c>
      <c r="L30" s="83">
        <v>19283.47</v>
      </c>
      <c r="M30" s="88"/>
    </row>
    <row r="31" spans="1:13" s="86" customFormat="1" ht="15" customHeight="1" x14ac:dyDescent="0.2">
      <c r="A31" s="86" t="s">
        <v>12</v>
      </c>
      <c r="B31" s="77">
        <v>100521</v>
      </c>
      <c r="C31" s="78" t="s">
        <v>179</v>
      </c>
      <c r="D31" s="77" t="s">
        <v>44</v>
      </c>
      <c r="E31" s="79">
        <v>45160</v>
      </c>
      <c r="F31" s="79">
        <v>46053</v>
      </c>
      <c r="G31" s="86" t="s">
        <v>185</v>
      </c>
      <c r="H31" s="86" t="s">
        <v>180</v>
      </c>
      <c r="I31" s="82">
        <v>7</v>
      </c>
      <c r="J31" s="82">
        <v>0</v>
      </c>
      <c r="K31" s="82">
        <f t="shared" si="3"/>
        <v>7</v>
      </c>
      <c r="L31" s="83">
        <v>463.89</v>
      </c>
      <c r="M31" s="88"/>
    </row>
    <row r="32" spans="1:13" s="86" customFormat="1" ht="15" customHeight="1" x14ac:dyDescent="0.2">
      <c r="A32" s="86" t="s">
        <v>12</v>
      </c>
      <c r="B32" s="77">
        <v>100521</v>
      </c>
      <c r="C32" s="78" t="s">
        <v>177</v>
      </c>
      <c r="D32" s="77" t="s">
        <v>44</v>
      </c>
      <c r="E32" s="79">
        <v>45160</v>
      </c>
      <c r="F32" s="79">
        <v>46053</v>
      </c>
      <c r="G32" s="86" t="s">
        <v>143</v>
      </c>
      <c r="H32" s="86" t="s">
        <v>178</v>
      </c>
      <c r="I32" s="82">
        <v>18.12</v>
      </c>
      <c r="J32" s="82">
        <v>0</v>
      </c>
      <c r="K32" s="82">
        <f t="shared" si="3"/>
        <v>18.12</v>
      </c>
      <c r="L32" s="83">
        <v>226.5</v>
      </c>
      <c r="M32" s="88"/>
    </row>
    <row r="33" spans="1:13" s="86" customFormat="1" ht="15" customHeight="1" x14ac:dyDescent="0.2">
      <c r="A33" s="86" t="s">
        <v>12</v>
      </c>
      <c r="B33" s="77">
        <v>100521</v>
      </c>
      <c r="C33" s="78" t="s">
        <v>175</v>
      </c>
      <c r="D33" s="77" t="s">
        <v>44</v>
      </c>
      <c r="E33" s="79">
        <v>45160</v>
      </c>
      <c r="F33" s="79">
        <v>46053</v>
      </c>
      <c r="G33" s="86" t="s">
        <v>143</v>
      </c>
      <c r="H33" s="86" t="s">
        <v>176</v>
      </c>
      <c r="I33" s="82">
        <v>18.68</v>
      </c>
      <c r="J33" s="82">
        <v>14.45</v>
      </c>
      <c r="K33" s="82">
        <f t="shared" si="3"/>
        <v>4.2300000000000004</v>
      </c>
      <c r="L33" s="83">
        <v>52.88</v>
      </c>
      <c r="M33" s="88"/>
    </row>
    <row r="34" spans="1:13" s="86" customFormat="1" ht="15" customHeight="1" x14ac:dyDescent="0.2">
      <c r="A34" s="86" t="s">
        <v>12</v>
      </c>
      <c r="B34" s="77">
        <v>100521</v>
      </c>
      <c r="C34" s="78" t="s">
        <v>186</v>
      </c>
      <c r="D34" s="77" t="s">
        <v>44</v>
      </c>
      <c r="E34" s="79">
        <v>45195</v>
      </c>
      <c r="F34" s="79">
        <v>46053</v>
      </c>
      <c r="G34" s="86" t="s">
        <v>143</v>
      </c>
      <c r="H34" s="86" t="s">
        <v>187</v>
      </c>
      <c r="I34" s="82">
        <v>21.83</v>
      </c>
      <c r="J34" s="82">
        <v>0</v>
      </c>
      <c r="K34" s="82">
        <f t="shared" si="3"/>
        <v>21.83</v>
      </c>
      <c r="L34" s="83">
        <v>531.41999999999996</v>
      </c>
      <c r="M34" s="88"/>
    </row>
    <row r="35" spans="1:13" s="86" customFormat="1" ht="15" customHeight="1" x14ac:dyDescent="0.2">
      <c r="A35" s="86" t="s">
        <v>12</v>
      </c>
      <c r="B35" s="77">
        <v>100521</v>
      </c>
      <c r="C35" s="78" t="s">
        <v>208</v>
      </c>
      <c r="D35" s="77" t="s">
        <v>44</v>
      </c>
      <c r="E35" s="79">
        <v>45533</v>
      </c>
      <c r="F35" s="79">
        <v>45961</v>
      </c>
      <c r="G35" s="86" t="s">
        <v>143</v>
      </c>
      <c r="H35" s="86" t="s">
        <v>209</v>
      </c>
      <c r="I35" s="82">
        <v>40.770000000000003</v>
      </c>
      <c r="J35" s="82">
        <v>0</v>
      </c>
      <c r="K35" s="82">
        <f t="shared" si="3"/>
        <v>40.770000000000003</v>
      </c>
      <c r="L35" s="83">
        <v>81.540000000000006</v>
      </c>
      <c r="M35" s="88"/>
    </row>
    <row r="36" spans="1:13" s="86" customFormat="1" ht="15" customHeight="1" x14ac:dyDescent="0.2">
      <c r="A36" s="86" t="s">
        <v>12</v>
      </c>
      <c r="B36" s="77">
        <v>100521</v>
      </c>
      <c r="C36" s="78" t="s">
        <v>195</v>
      </c>
      <c r="D36" s="77" t="s">
        <v>44</v>
      </c>
      <c r="E36" s="79">
        <v>45272</v>
      </c>
      <c r="F36" s="79">
        <v>46691</v>
      </c>
      <c r="G36" s="86" t="s">
        <v>143</v>
      </c>
      <c r="H36" s="86" t="s">
        <v>196</v>
      </c>
      <c r="I36" s="82">
        <v>258</v>
      </c>
      <c r="J36" s="82">
        <v>0</v>
      </c>
      <c r="K36" s="82">
        <f t="shared" si="3"/>
        <v>258</v>
      </c>
      <c r="L36" s="83">
        <v>27382.78</v>
      </c>
      <c r="M36" s="88"/>
    </row>
    <row r="37" spans="1:13" s="86" customFormat="1" ht="15" customHeight="1" x14ac:dyDescent="0.2">
      <c r="A37" s="86" t="s">
        <v>12</v>
      </c>
      <c r="B37" s="77">
        <v>100521</v>
      </c>
      <c r="C37" s="78" t="s">
        <v>166</v>
      </c>
      <c r="D37" s="77" t="s">
        <v>44</v>
      </c>
      <c r="E37" s="79">
        <v>44992</v>
      </c>
      <c r="F37" s="79">
        <v>46599</v>
      </c>
      <c r="G37" s="86" t="s">
        <v>123</v>
      </c>
      <c r="H37" s="86" t="s">
        <v>167</v>
      </c>
      <c r="I37" s="82">
        <v>599.17999999999995</v>
      </c>
      <c r="J37" s="82">
        <v>0</v>
      </c>
      <c r="K37" s="82">
        <f t="shared" si="3"/>
        <v>599.17999999999995</v>
      </c>
      <c r="L37" s="83">
        <v>52002.83</v>
      </c>
      <c r="M37" s="88"/>
    </row>
    <row r="38" spans="1:13" s="86" customFormat="1" ht="15" customHeight="1" x14ac:dyDescent="0.2">
      <c r="A38" s="86" t="s">
        <v>12</v>
      </c>
      <c r="B38" s="77">
        <v>100521</v>
      </c>
      <c r="C38" s="78" t="s">
        <v>210</v>
      </c>
      <c r="D38" s="77" t="s">
        <v>44</v>
      </c>
      <c r="E38" s="79">
        <v>45545</v>
      </c>
      <c r="F38" s="79">
        <v>46288</v>
      </c>
      <c r="G38" s="86" t="s">
        <v>211</v>
      </c>
      <c r="H38" s="86" t="s">
        <v>212</v>
      </c>
      <c r="I38" s="82">
        <v>4.45</v>
      </c>
      <c r="J38" s="82">
        <v>0</v>
      </c>
      <c r="K38" s="82">
        <f t="shared" si="3"/>
        <v>4.45</v>
      </c>
      <c r="L38" s="83">
        <v>8.99</v>
      </c>
      <c r="M38" s="88"/>
    </row>
    <row r="39" spans="1:13" s="86" customFormat="1" ht="15" customHeight="1" x14ac:dyDescent="0.2">
      <c r="A39" s="86" t="s">
        <v>10</v>
      </c>
      <c r="B39" s="77">
        <v>100552</v>
      </c>
      <c r="C39" s="78" t="s">
        <v>104</v>
      </c>
      <c r="D39" s="77">
        <v>4</v>
      </c>
      <c r="E39" s="79">
        <v>43529</v>
      </c>
      <c r="F39" s="79">
        <v>45657</v>
      </c>
      <c r="G39" s="91" t="s">
        <v>89</v>
      </c>
      <c r="H39" s="92" t="s">
        <v>128</v>
      </c>
      <c r="I39" s="82">
        <v>2729.9</v>
      </c>
      <c r="J39" s="82">
        <v>0</v>
      </c>
      <c r="K39" s="82">
        <v>2729.9</v>
      </c>
      <c r="L39" s="83">
        <v>0</v>
      </c>
      <c r="M39" s="88"/>
    </row>
    <row r="40" spans="1:13" s="86" customFormat="1" ht="15" customHeight="1" x14ac:dyDescent="0.2">
      <c r="A40" s="86" t="str">
        <f>LOOKUP(B40,B$75:C$87)</f>
        <v>Sitka</v>
      </c>
      <c r="B40" s="77">
        <v>100531</v>
      </c>
      <c r="C40" s="78" t="s">
        <v>120</v>
      </c>
      <c r="D40" s="77" t="s">
        <v>44</v>
      </c>
      <c r="E40" s="79">
        <v>43986</v>
      </c>
      <c r="F40" s="79">
        <v>45961</v>
      </c>
      <c r="G40" s="91" t="s">
        <v>48</v>
      </c>
      <c r="H40" s="92" t="s">
        <v>121</v>
      </c>
      <c r="I40" s="82">
        <v>37.909999999999997</v>
      </c>
      <c r="J40" s="82">
        <v>0</v>
      </c>
      <c r="K40" s="82">
        <f>I40-J40</f>
        <v>37.909999999999997</v>
      </c>
      <c r="L40" s="83">
        <v>79.06</v>
      </c>
      <c r="M40" s="88"/>
    </row>
    <row r="41" spans="1:13" s="86" customFormat="1" ht="15" customHeight="1" x14ac:dyDescent="0.2">
      <c r="A41" s="86" t="s">
        <v>22</v>
      </c>
      <c r="B41" s="77">
        <v>100531</v>
      </c>
      <c r="C41" s="78" t="s">
        <v>140</v>
      </c>
      <c r="D41" s="77" t="s">
        <v>44</v>
      </c>
      <c r="E41" s="79">
        <v>44448</v>
      </c>
      <c r="F41" s="79">
        <v>45961</v>
      </c>
      <c r="G41" s="86" t="s">
        <v>48</v>
      </c>
      <c r="H41" s="86" t="s">
        <v>141</v>
      </c>
      <c r="I41" s="82">
        <v>15</v>
      </c>
      <c r="J41" s="82">
        <v>0</v>
      </c>
      <c r="K41" s="82">
        <f>I41-J41</f>
        <v>15</v>
      </c>
      <c r="L41" s="83">
        <v>3210.15</v>
      </c>
      <c r="M41" s="88"/>
    </row>
    <row r="42" spans="1:13" s="86" customFormat="1" ht="15" customHeight="1" x14ac:dyDescent="0.2">
      <c r="A42" s="86" t="str">
        <f>LOOKUP(B42,B$74:C$86)</f>
        <v>Sitka</v>
      </c>
      <c r="B42" s="77">
        <v>100531</v>
      </c>
      <c r="C42" s="78" t="s">
        <v>49</v>
      </c>
      <c r="D42" s="77" t="s">
        <v>44</v>
      </c>
      <c r="E42" s="79">
        <v>42283</v>
      </c>
      <c r="F42" s="79">
        <v>45230</v>
      </c>
      <c r="G42" s="93" t="s">
        <v>37</v>
      </c>
      <c r="H42" s="86" t="s">
        <v>80</v>
      </c>
      <c r="I42" s="82">
        <v>94.66</v>
      </c>
      <c r="J42" s="82">
        <v>94.66</v>
      </c>
      <c r="K42" s="82">
        <f>I42-J42</f>
        <v>0</v>
      </c>
      <c r="L42" s="83">
        <v>0</v>
      </c>
      <c r="M42" s="88"/>
    </row>
    <row r="43" spans="1:13" s="86" customFormat="1" ht="15" customHeight="1" x14ac:dyDescent="0.2">
      <c r="A43" s="86" t="s">
        <v>7</v>
      </c>
      <c r="B43" s="77">
        <v>100554</v>
      </c>
      <c r="C43" s="78" t="s">
        <v>229</v>
      </c>
      <c r="D43" s="77">
        <v>4</v>
      </c>
      <c r="E43" s="79">
        <v>45671</v>
      </c>
      <c r="F43" s="79">
        <v>46066</v>
      </c>
      <c r="G43" s="93" t="s">
        <v>161</v>
      </c>
      <c r="H43" s="86" t="s">
        <v>230</v>
      </c>
      <c r="I43" s="82">
        <v>0.85</v>
      </c>
      <c r="J43" s="82">
        <v>0</v>
      </c>
      <c r="K43" s="82">
        <f>SUM(I43-J43)</f>
        <v>0.85</v>
      </c>
      <c r="L43" s="83">
        <v>90.19</v>
      </c>
      <c r="M43" s="88"/>
    </row>
    <row r="44" spans="1:13" s="86" customFormat="1" ht="15" customHeight="1" x14ac:dyDescent="0.2">
      <c r="A44" s="86" t="str">
        <f>LOOKUP(B44,B$75:C$87)</f>
        <v>Thorne Bay</v>
      </c>
      <c r="B44" s="77">
        <v>100554</v>
      </c>
      <c r="C44" s="78" t="s">
        <v>90</v>
      </c>
      <c r="D44" s="77">
        <v>13</v>
      </c>
      <c r="E44" s="79">
        <v>41905</v>
      </c>
      <c r="F44" s="79">
        <v>46660</v>
      </c>
      <c r="G44" s="86" t="s">
        <v>16</v>
      </c>
      <c r="H44" s="86" t="s">
        <v>39</v>
      </c>
      <c r="I44" s="82">
        <v>89726.85</v>
      </c>
      <c r="J44" s="82">
        <v>86909.61</v>
      </c>
      <c r="K44" s="82">
        <f>I44-J44</f>
        <v>2817.2400000000052</v>
      </c>
      <c r="L44" s="83">
        <v>27368.77</v>
      </c>
      <c r="M44" s="88"/>
    </row>
    <row r="45" spans="1:13" s="86" customFormat="1" ht="15" customHeight="1" x14ac:dyDescent="0.2">
      <c r="A45" s="86" t="str">
        <f>LOOKUP(B45,B$75:C$87)</f>
        <v>Thorne Bay</v>
      </c>
      <c r="B45" s="77">
        <v>100554</v>
      </c>
      <c r="C45" s="78" t="s">
        <v>35</v>
      </c>
      <c r="D45" s="77">
        <v>6</v>
      </c>
      <c r="E45" s="79">
        <v>40448</v>
      </c>
      <c r="F45" s="79">
        <v>42308</v>
      </c>
      <c r="G45" s="86" t="s">
        <v>16</v>
      </c>
      <c r="H45" s="86" t="s">
        <v>31</v>
      </c>
      <c r="I45" s="82">
        <v>31842.73</v>
      </c>
      <c r="J45" s="82">
        <v>31842.73</v>
      </c>
      <c r="K45" s="82">
        <v>0</v>
      </c>
      <c r="L45" s="83">
        <v>0</v>
      </c>
      <c r="M45" s="88"/>
    </row>
    <row r="46" spans="1:13" s="86" customFormat="1" ht="15" customHeight="1" x14ac:dyDescent="0.2">
      <c r="A46" s="86" t="s">
        <v>7</v>
      </c>
      <c r="B46" s="77">
        <v>100554</v>
      </c>
      <c r="C46" s="78" t="s">
        <v>204</v>
      </c>
      <c r="D46" s="77">
        <v>6</v>
      </c>
      <c r="E46" s="79">
        <v>44817</v>
      </c>
      <c r="F46" s="79">
        <v>46691</v>
      </c>
      <c r="G46" s="86" t="s">
        <v>16</v>
      </c>
      <c r="H46" s="86" t="s">
        <v>205</v>
      </c>
      <c r="I46" s="82">
        <v>1017.87</v>
      </c>
      <c r="J46" s="82">
        <v>1017.87</v>
      </c>
      <c r="K46" s="82">
        <f>SUM(I46-J46)</f>
        <v>0</v>
      </c>
      <c r="L46" s="83">
        <v>0</v>
      </c>
      <c r="M46" s="88"/>
    </row>
    <row r="47" spans="1:13" s="86" customFormat="1" ht="15" customHeight="1" x14ac:dyDescent="0.2">
      <c r="A47" s="86" t="s">
        <v>7</v>
      </c>
      <c r="B47" s="77">
        <v>100554</v>
      </c>
      <c r="C47" s="78" t="s">
        <v>92</v>
      </c>
      <c r="D47" s="77">
        <v>6</v>
      </c>
      <c r="E47" s="79">
        <v>43221</v>
      </c>
      <c r="F47" s="79">
        <v>46326</v>
      </c>
      <c r="G47" s="86" t="s">
        <v>16</v>
      </c>
      <c r="H47" s="86" t="s">
        <v>93</v>
      </c>
      <c r="I47" s="82">
        <v>8389.92</v>
      </c>
      <c r="J47" s="82">
        <v>8275.39</v>
      </c>
      <c r="K47" s="82">
        <f t="shared" ref="K47:K52" si="4">I47-J47</f>
        <v>114.53000000000065</v>
      </c>
      <c r="L47" s="83">
        <v>19777.88</v>
      </c>
      <c r="M47" s="88"/>
    </row>
    <row r="48" spans="1:13" s="86" customFormat="1" ht="15" customHeight="1" x14ac:dyDescent="0.2">
      <c r="A48" s="86" t="s">
        <v>7</v>
      </c>
      <c r="B48" s="77">
        <v>100554</v>
      </c>
      <c r="C48" s="78" t="s">
        <v>192</v>
      </c>
      <c r="D48" s="77" t="s">
        <v>44</v>
      </c>
      <c r="E48" s="79">
        <v>45244</v>
      </c>
      <c r="F48" s="79">
        <v>47422</v>
      </c>
      <c r="G48" s="86" t="s">
        <v>53</v>
      </c>
      <c r="H48" s="86" t="s">
        <v>193</v>
      </c>
      <c r="I48" s="82">
        <v>429</v>
      </c>
      <c r="J48" s="82">
        <v>0</v>
      </c>
      <c r="K48" s="82">
        <f t="shared" si="4"/>
        <v>429</v>
      </c>
      <c r="L48" s="83">
        <v>146434</v>
      </c>
      <c r="M48" s="88"/>
    </row>
    <row r="49" spans="1:13" s="86" customFormat="1" ht="15" customHeight="1" x14ac:dyDescent="0.2">
      <c r="A49" s="86" t="str">
        <f>LOOKUP(B49,B$76:C$88)</f>
        <v>Thorne Bay</v>
      </c>
      <c r="B49" s="77">
        <v>100554</v>
      </c>
      <c r="C49" s="78" t="s">
        <v>112</v>
      </c>
      <c r="D49" s="77">
        <v>6</v>
      </c>
      <c r="E49" s="79">
        <v>43398</v>
      </c>
      <c r="F49" s="79">
        <v>47057</v>
      </c>
      <c r="G49" s="86" t="s">
        <v>53</v>
      </c>
      <c r="H49" s="86" t="s">
        <v>113</v>
      </c>
      <c r="I49" s="82">
        <v>1752</v>
      </c>
      <c r="J49" s="82">
        <v>306.25</v>
      </c>
      <c r="K49" s="82">
        <f t="shared" si="4"/>
        <v>1445.75</v>
      </c>
      <c r="L49" s="83">
        <v>220892.91</v>
      </c>
      <c r="M49" s="88"/>
    </row>
    <row r="50" spans="1:13" s="86" customFormat="1" ht="15" customHeight="1" x14ac:dyDescent="0.2">
      <c r="A50" s="86" t="str">
        <f>LOOKUP(B50,B$76:C$88)</f>
        <v>Thorne Bay</v>
      </c>
      <c r="B50" s="77">
        <v>100554</v>
      </c>
      <c r="C50" s="78" t="s">
        <v>114</v>
      </c>
      <c r="D50" s="77">
        <v>6</v>
      </c>
      <c r="E50" s="79">
        <v>43977</v>
      </c>
      <c r="F50" s="79">
        <v>47057</v>
      </c>
      <c r="G50" s="86" t="s">
        <v>53</v>
      </c>
      <c r="H50" s="86" t="s">
        <v>115</v>
      </c>
      <c r="I50" s="82">
        <v>1837</v>
      </c>
      <c r="J50" s="82">
        <v>1142</v>
      </c>
      <c r="K50" s="82">
        <f t="shared" si="4"/>
        <v>695</v>
      </c>
      <c r="L50" s="83">
        <v>144738.49</v>
      </c>
      <c r="M50" s="88"/>
    </row>
    <row r="51" spans="1:13" s="86" customFormat="1" ht="15" customHeight="1" x14ac:dyDescent="0.2">
      <c r="A51" s="86" t="str">
        <f>LOOKUP(B51,B$76:C$88)</f>
        <v>Thorne Bay</v>
      </c>
      <c r="B51" s="77">
        <v>100554</v>
      </c>
      <c r="C51" s="78" t="s">
        <v>127</v>
      </c>
      <c r="D51" s="77">
        <v>6</v>
      </c>
      <c r="E51" s="79">
        <v>44187</v>
      </c>
      <c r="F51" s="79">
        <v>46904</v>
      </c>
      <c r="G51" s="86" t="s">
        <v>53</v>
      </c>
      <c r="H51" s="86" t="s">
        <v>134</v>
      </c>
      <c r="I51" s="82">
        <v>914</v>
      </c>
      <c r="J51" s="82">
        <v>0</v>
      </c>
      <c r="K51" s="82">
        <f t="shared" si="4"/>
        <v>914</v>
      </c>
      <c r="L51" s="83">
        <v>52502.51</v>
      </c>
      <c r="M51" s="88"/>
    </row>
    <row r="52" spans="1:13" s="86" customFormat="1" ht="15" customHeight="1" x14ac:dyDescent="0.2">
      <c r="A52" s="86" t="s">
        <v>7</v>
      </c>
      <c r="B52" s="77">
        <v>100554</v>
      </c>
      <c r="C52" s="78" t="s">
        <v>145</v>
      </c>
      <c r="D52" s="77" t="s">
        <v>44</v>
      </c>
      <c r="E52" s="79">
        <v>44698</v>
      </c>
      <c r="F52" s="79">
        <v>46568</v>
      </c>
      <c r="G52" s="86" t="s">
        <v>53</v>
      </c>
      <c r="H52" s="86" t="s">
        <v>146</v>
      </c>
      <c r="I52" s="82">
        <v>271.54000000000002</v>
      </c>
      <c r="J52" s="82">
        <v>186.54</v>
      </c>
      <c r="K52" s="82">
        <f t="shared" si="4"/>
        <v>85.000000000000028</v>
      </c>
      <c r="L52" s="83">
        <v>13345.63</v>
      </c>
      <c r="M52" s="88"/>
    </row>
    <row r="53" spans="1:13" s="86" customFormat="1" ht="15" customHeight="1" x14ac:dyDescent="0.2">
      <c r="A53" s="86" t="s">
        <v>7</v>
      </c>
      <c r="B53" s="77">
        <v>100554</v>
      </c>
      <c r="C53" s="78" t="s">
        <v>170</v>
      </c>
      <c r="D53" s="77">
        <v>4</v>
      </c>
      <c r="E53" s="79">
        <v>45090</v>
      </c>
      <c r="F53" s="79">
        <v>45961</v>
      </c>
      <c r="G53" s="86" t="s">
        <v>109</v>
      </c>
      <c r="H53" s="86" t="s">
        <v>171</v>
      </c>
      <c r="I53" s="82">
        <v>3.66</v>
      </c>
      <c r="J53" s="82">
        <v>0</v>
      </c>
      <c r="K53" s="82">
        <f>I53-J53</f>
        <v>3.66</v>
      </c>
      <c r="L53" s="83">
        <v>411.79</v>
      </c>
      <c r="M53" s="88"/>
    </row>
    <row r="54" spans="1:13" s="86" customFormat="1" ht="15" customHeight="1" x14ac:dyDescent="0.2">
      <c r="A54" s="86" t="s">
        <v>7</v>
      </c>
      <c r="B54" s="77">
        <v>100554</v>
      </c>
      <c r="C54" s="78" t="s">
        <v>190</v>
      </c>
      <c r="D54" s="77">
        <v>4</v>
      </c>
      <c r="E54" s="79">
        <v>45181</v>
      </c>
      <c r="F54" s="79">
        <v>45961</v>
      </c>
      <c r="G54" s="86" t="s">
        <v>109</v>
      </c>
      <c r="H54" s="86" t="s">
        <v>191</v>
      </c>
      <c r="I54" s="82">
        <v>1.93</v>
      </c>
      <c r="J54" s="82">
        <v>0</v>
      </c>
      <c r="K54" s="82">
        <f>I54-J54</f>
        <v>1.93</v>
      </c>
      <c r="L54" s="83">
        <v>217.14</v>
      </c>
      <c r="M54" s="88"/>
    </row>
    <row r="55" spans="1:13" s="5" customFormat="1" ht="19.149999999999999" customHeight="1" x14ac:dyDescent="0.2">
      <c r="B55" s="51"/>
      <c r="C55" s="52"/>
      <c r="D55" s="53"/>
      <c r="E55" s="53"/>
      <c r="F55" s="53"/>
      <c r="I55" s="40"/>
      <c r="J55" s="40"/>
      <c r="K55" s="40"/>
      <c r="L55" s="54"/>
      <c r="M55" s="22"/>
    </row>
    <row r="56" spans="1:13" s="5" customFormat="1" ht="19.149999999999999" customHeight="1" x14ac:dyDescent="0.2">
      <c r="H56" s="33"/>
    </row>
    <row r="57" spans="1:13" s="5" customFormat="1" ht="19.149999999999999" customHeight="1" x14ac:dyDescent="0.2">
      <c r="B57" s="1" t="s">
        <v>81</v>
      </c>
      <c r="C57" s="12">
        <f>COUNTIF($K$4:$K$54,"&gt;=0")</f>
        <v>51</v>
      </c>
      <c r="D57" s="13"/>
      <c r="E57" s="13"/>
      <c r="F57" s="13"/>
      <c r="G57" s="14" t="s">
        <v>82</v>
      </c>
      <c r="H57" s="9">
        <f>COUNTIF($K$4:$K$54,"&gt;0")</f>
        <v>44</v>
      </c>
      <c r="I57" s="1">
        <f>SUM(I4:I54)</f>
        <v>186098.76000000004</v>
      </c>
      <c r="J57" s="1">
        <f>SUM(J4:J54)</f>
        <v>166895.30000000002</v>
      </c>
      <c r="K57" s="1">
        <f>SUM(K4:K54)</f>
        <v>19203.460000000006</v>
      </c>
      <c r="L57" s="2">
        <f>SUM(L4:L54)</f>
        <v>1032478.8300000002</v>
      </c>
    </row>
    <row r="58" spans="1:13" s="5" customFormat="1" ht="19.149999999999999" customHeight="1" x14ac:dyDescent="0.2">
      <c r="B58" s="55"/>
      <c r="C58" s="56"/>
      <c r="D58" s="56"/>
      <c r="E58" s="55"/>
      <c r="F58" s="57"/>
      <c r="I58" s="41"/>
      <c r="J58" s="41"/>
      <c r="K58" s="41"/>
      <c r="L58" s="58"/>
    </row>
    <row r="59" spans="1:13" s="59" customFormat="1" ht="30" customHeight="1" x14ac:dyDescent="0.2">
      <c r="A59" s="49"/>
      <c r="B59" s="13"/>
      <c r="C59" s="13"/>
      <c r="D59" s="13"/>
      <c r="E59" s="13"/>
      <c r="F59" s="13"/>
      <c r="G59" s="14" t="s">
        <v>70</v>
      </c>
      <c r="H59" s="5"/>
      <c r="I59" s="5"/>
      <c r="J59" s="5"/>
      <c r="K59" s="5"/>
      <c r="L59" s="5"/>
    </row>
    <row r="60" spans="1:13" s="5" customFormat="1" ht="15" customHeight="1" x14ac:dyDescent="0.2">
      <c r="B60" s="60"/>
      <c r="C60" s="61"/>
      <c r="D60" s="61"/>
      <c r="E60" s="62"/>
      <c r="F60" s="62"/>
      <c r="G60" s="34"/>
      <c r="H60" s="34"/>
      <c r="I60" s="42"/>
      <c r="J60" s="42"/>
      <c r="K60" s="42"/>
      <c r="L60" s="63"/>
    </row>
    <row r="61" spans="1:13" s="5" customFormat="1" ht="15" customHeight="1" x14ac:dyDescent="0.2">
      <c r="A61" s="5" t="str">
        <f>LOOKUP(B61,B$75:C$87)</f>
        <v>Seward</v>
      </c>
      <c r="B61" s="23">
        <v>100430</v>
      </c>
      <c r="C61" s="24" t="s">
        <v>110</v>
      </c>
      <c r="D61" s="23" t="s">
        <v>44</v>
      </c>
      <c r="E61" s="25">
        <v>43839</v>
      </c>
      <c r="F61" s="25">
        <v>45626</v>
      </c>
      <c r="G61" s="26" t="s">
        <v>30</v>
      </c>
      <c r="H61" s="26" t="s">
        <v>111</v>
      </c>
      <c r="I61" s="27">
        <v>79</v>
      </c>
      <c r="J61" s="27">
        <v>79</v>
      </c>
      <c r="K61" s="27">
        <f>I61-J61</f>
        <v>0</v>
      </c>
      <c r="L61" s="28">
        <v>0</v>
      </c>
    </row>
    <row r="62" spans="1:13" s="5" customFormat="1" ht="15" customHeight="1" x14ac:dyDescent="0.2">
      <c r="A62" s="5" t="s">
        <v>14</v>
      </c>
      <c r="B62" s="23">
        <v>100430</v>
      </c>
      <c r="C62" s="24" t="s">
        <v>162</v>
      </c>
      <c r="D62" s="23" t="s">
        <v>44</v>
      </c>
      <c r="E62" s="25">
        <v>44916</v>
      </c>
      <c r="F62" s="25">
        <v>45997</v>
      </c>
      <c r="G62" s="26" t="s">
        <v>87</v>
      </c>
      <c r="H62" s="26" t="s">
        <v>163</v>
      </c>
      <c r="I62" s="27">
        <v>195.5</v>
      </c>
      <c r="J62" s="27">
        <v>0</v>
      </c>
      <c r="K62" s="27">
        <f t="shared" ref="K62:K67" si="5">SUM(I62-J62)</f>
        <v>195.5</v>
      </c>
      <c r="L62" s="28">
        <v>14959.66</v>
      </c>
    </row>
    <row r="63" spans="1:13" s="5" customFormat="1" ht="15" customHeight="1" x14ac:dyDescent="0.2">
      <c r="A63" s="5" t="s">
        <v>14</v>
      </c>
      <c r="B63" s="23">
        <v>100430</v>
      </c>
      <c r="C63" s="24" t="s">
        <v>164</v>
      </c>
      <c r="D63" s="23" t="s">
        <v>44</v>
      </c>
      <c r="E63" s="25">
        <v>44916</v>
      </c>
      <c r="F63" s="25">
        <v>45997</v>
      </c>
      <c r="G63" s="26" t="s">
        <v>87</v>
      </c>
      <c r="H63" s="26" t="s">
        <v>165</v>
      </c>
      <c r="I63" s="27">
        <v>436.5</v>
      </c>
      <c r="J63" s="27">
        <v>0</v>
      </c>
      <c r="K63" s="27">
        <f t="shared" si="5"/>
        <v>436.5</v>
      </c>
      <c r="L63" s="28">
        <v>29908.98</v>
      </c>
    </row>
    <row r="64" spans="1:13" s="5" customFormat="1" ht="15" customHeight="1" x14ac:dyDescent="0.2">
      <c r="A64" s="5" t="s">
        <v>14</v>
      </c>
      <c r="B64" s="23">
        <v>100430</v>
      </c>
      <c r="C64" s="24" t="s">
        <v>214</v>
      </c>
      <c r="D64" s="23">
        <v>4</v>
      </c>
      <c r="E64" s="25">
        <v>45628</v>
      </c>
      <c r="F64" s="25">
        <v>46023</v>
      </c>
      <c r="G64" s="26" t="s">
        <v>148</v>
      </c>
      <c r="H64" s="26" t="s">
        <v>215</v>
      </c>
      <c r="I64" s="27">
        <v>40</v>
      </c>
      <c r="J64" s="27">
        <v>0</v>
      </c>
      <c r="K64" s="27">
        <f t="shared" si="5"/>
        <v>40</v>
      </c>
      <c r="L64" s="28">
        <v>3004</v>
      </c>
    </row>
    <row r="65" spans="1:12" s="5" customFormat="1" ht="15" customHeight="1" x14ac:dyDescent="0.2">
      <c r="A65" s="5" t="s">
        <v>14</v>
      </c>
      <c r="B65" s="23">
        <v>100430</v>
      </c>
      <c r="C65" s="24" t="s">
        <v>216</v>
      </c>
      <c r="D65" s="23">
        <v>4</v>
      </c>
      <c r="E65" s="25">
        <v>45628</v>
      </c>
      <c r="F65" s="25">
        <v>46023</v>
      </c>
      <c r="G65" s="26" t="s">
        <v>174</v>
      </c>
      <c r="H65" s="26" t="s">
        <v>220</v>
      </c>
      <c r="I65" s="27">
        <v>97</v>
      </c>
      <c r="J65" s="27">
        <v>0</v>
      </c>
      <c r="K65" s="27">
        <f t="shared" si="5"/>
        <v>97</v>
      </c>
      <c r="L65" s="28">
        <v>9461.3799999999992</v>
      </c>
    </row>
    <row r="66" spans="1:12" s="5" customFormat="1" ht="15" customHeight="1" x14ac:dyDescent="0.2">
      <c r="A66" s="5" t="s">
        <v>14</v>
      </c>
      <c r="B66" s="23">
        <v>100430</v>
      </c>
      <c r="C66" s="24" t="s">
        <v>217</v>
      </c>
      <c r="D66" s="23" t="s">
        <v>44</v>
      </c>
      <c r="E66" s="25">
        <v>45628</v>
      </c>
      <c r="F66" s="25">
        <v>46388</v>
      </c>
      <c r="G66" s="26" t="s">
        <v>219</v>
      </c>
      <c r="H66" s="26" t="s">
        <v>221</v>
      </c>
      <c r="I66" s="27">
        <v>399.5</v>
      </c>
      <c r="J66" s="27">
        <v>0</v>
      </c>
      <c r="K66" s="27">
        <f t="shared" si="5"/>
        <v>399.5</v>
      </c>
      <c r="L66" s="28">
        <v>31960</v>
      </c>
    </row>
    <row r="67" spans="1:12" s="5" customFormat="1" ht="15" customHeight="1" x14ac:dyDescent="0.2">
      <c r="A67" s="5" t="s">
        <v>14</v>
      </c>
      <c r="B67" s="23">
        <v>100430</v>
      </c>
      <c r="C67" s="24" t="s">
        <v>218</v>
      </c>
      <c r="D67" s="23">
        <v>4</v>
      </c>
      <c r="E67" s="25">
        <v>45628</v>
      </c>
      <c r="F67" s="25">
        <v>46023</v>
      </c>
      <c r="G67" s="26" t="s">
        <v>87</v>
      </c>
      <c r="H67" s="26" t="s">
        <v>222</v>
      </c>
      <c r="I67" s="27">
        <v>53</v>
      </c>
      <c r="J67" s="27">
        <v>0</v>
      </c>
      <c r="K67" s="27">
        <f t="shared" si="5"/>
        <v>53</v>
      </c>
      <c r="L67" s="28">
        <v>4876</v>
      </c>
    </row>
    <row r="68" spans="1:12" s="5" customFormat="1" ht="15" customHeight="1" x14ac:dyDescent="0.2">
      <c r="B68" s="23"/>
      <c r="C68" s="24"/>
      <c r="D68" s="23"/>
      <c r="E68" s="25"/>
      <c r="F68" s="25"/>
      <c r="G68" s="26"/>
      <c r="H68" s="26"/>
      <c r="I68" s="27"/>
      <c r="J68" s="27"/>
      <c r="K68" s="27"/>
      <c r="L68" s="28"/>
    </row>
    <row r="69" spans="1:12" s="5" customFormat="1" ht="15" customHeight="1" x14ac:dyDescent="0.2">
      <c r="B69" s="64"/>
      <c r="C69" s="65"/>
      <c r="D69" s="65"/>
      <c r="E69" s="66"/>
      <c r="F69" s="66"/>
      <c r="G69" s="35"/>
      <c r="H69" s="35"/>
      <c r="I69" s="43"/>
      <c r="J69" s="43"/>
      <c r="K69" s="43"/>
      <c r="L69" s="67"/>
    </row>
    <row r="70" spans="1:12" s="5" customFormat="1" ht="21.4" customHeight="1" x14ac:dyDescent="0.2">
      <c r="B70" s="1" t="s">
        <v>83</v>
      </c>
      <c r="C70" s="9">
        <f>COUNTIF($K$61:$K$69,"&gt;=0")</f>
        <v>7</v>
      </c>
      <c r="D70" s="15"/>
      <c r="E70" s="13"/>
      <c r="F70" s="13"/>
      <c r="G70" s="14" t="s">
        <v>84</v>
      </c>
      <c r="H70" s="9">
        <f>COUNTIF($K$61:$K$69,"&gt;0")</f>
        <v>6</v>
      </c>
      <c r="I70" s="1">
        <f>SUM(I61:I69)</f>
        <v>1300.5</v>
      </c>
      <c r="J70" s="1">
        <f>SUM(J61:J69)</f>
        <v>79</v>
      </c>
      <c r="K70" s="1">
        <f>SUM(K61:K69)</f>
        <v>1221.5</v>
      </c>
      <c r="L70" s="2">
        <f>SUM(L61:L69)</f>
        <v>94170.01999999999</v>
      </c>
    </row>
    <row r="71" spans="1:12" s="50" customFormat="1" ht="30" customHeight="1" x14ac:dyDescent="0.25">
      <c r="B71" s="36"/>
      <c r="C71" s="36"/>
      <c r="D71" s="36"/>
      <c r="E71" s="36"/>
      <c r="F71" s="36"/>
      <c r="G71" s="68" t="s">
        <v>71</v>
      </c>
      <c r="H71" s="7"/>
      <c r="I71" s="44"/>
      <c r="J71" s="44"/>
      <c r="K71" s="44"/>
      <c r="L71" s="44"/>
    </row>
    <row r="72" spans="1:12" s="5" customFormat="1" ht="21.4" customHeight="1" x14ac:dyDescent="0.2">
      <c r="B72" s="1" t="s">
        <v>86</v>
      </c>
      <c r="C72" s="9">
        <f>C57+C70</f>
        <v>58</v>
      </c>
      <c r="D72" s="15"/>
      <c r="E72" s="13"/>
      <c r="F72" s="13"/>
      <c r="G72" s="14" t="s">
        <v>85</v>
      </c>
      <c r="H72" s="9">
        <f>H57+H70</f>
        <v>50</v>
      </c>
      <c r="I72" s="16">
        <f>I57+I70</f>
        <v>187399.26000000004</v>
      </c>
      <c r="J72" s="16">
        <f>J57+J70</f>
        <v>166974.30000000002</v>
      </c>
      <c r="K72" s="16">
        <f>K57+K70</f>
        <v>20424.960000000006</v>
      </c>
      <c r="L72" s="17">
        <f>L57+L70</f>
        <v>1126648.8500000001</v>
      </c>
    </row>
    <row r="73" spans="1:12" s="5" customFormat="1" ht="21.4" customHeight="1" x14ac:dyDescent="0.2">
      <c r="B73" s="1"/>
      <c r="C73" s="9"/>
      <c r="D73" s="15"/>
      <c r="E73" s="13"/>
      <c r="F73" s="13"/>
      <c r="G73" s="14"/>
      <c r="H73" s="9"/>
      <c r="I73" s="16"/>
      <c r="J73" s="16"/>
      <c r="K73" s="16"/>
      <c r="L73" s="17"/>
    </row>
    <row r="74" spans="1:12" s="5" customFormat="1" ht="21.4" customHeight="1" x14ac:dyDescent="0.2">
      <c r="B74" s="1"/>
      <c r="C74" s="9"/>
      <c r="D74" s="15"/>
      <c r="E74" s="13"/>
      <c r="F74" s="13"/>
      <c r="G74" s="14"/>
      <c r="H74" s="9"/>
      <c r="I74" s="16"/>
      <c r="J74" s="16"/>
      <c r="K74" s="16"/>
      <c r="L74" s="17"/>
    </row>
    <row r="75" spans="1:12" s="5" customFormat="1" ht="14.25" customHeight="1" x14ac:dyDescent="0.2">
      <c r="A75" s="5" t="s">
        <v>25</v>
      </c>
      <c r="B75" s="13">
        <v>100410</v>
      </c>
      <c r="C75" s="15" t="s">
        <v>20</v>
      </c>
      <c r="D75" s="15"/>
      <c r="E75" s="5" t="s">
        <v>54</v>
      </c>
      <c r="F75" s="6"/>
      <c r="G75" s="12" t="s">
        <v>100</v>
      </c>
      <c r="I75" s="1">
        <f>SUMIF($G$4:$G$70,"Alaska Milling &amp; Fabrication LLC",$I$4:$I$70)</f>
        <v>159.54000000000002</v>
      </c>
      <c r="J75" s="1">
        <f>SUMIF($G$4:$G$70,"Alaska Milling &amp; Fabrication LLC",$J$4:$J$70)</f>
        <v>0</v>
      </c>
      <c r="K75" s="1">
        <f>SUMIF($G$4:$G$70,"Alaska Milling &amp; Fabrication LLC",$K$4:$K$70)</f>
        <v>159.54000000000002</v>
      </c>
      <c r="L75" s="2">
        <f>SUMIF($G$4:$G$70,"Alaska Milling &amp; Fabrication LLC",$L$4:$L$70)</f>
        <v>157370.1</v>
      </c>
    </row>
    <row r="76" spans="1:12" s="5" customFormat="1" ht="14.25" customHeight="1" x14ac:dyDescent="0.2">
      <c r="B76" s="13">
        <v>100420</v>
      </c>
      <c r="C76" s="15" t="s">
        <v>21</v>
      </c>
      <c r="D76" s="15"/>
      <c r="E76" s="6"/>
      <c r="F76" s="6"/>
      <c r="G76" s="5" t="s">
        <v>43</v>
      </c>
      <c r="I76" s="1">
        <f>SUMIF($G$4:$G$70,"Alaska Musicwood Industries",$I$4:$I$70)</f>
        <v>0</v>
      </c>
      <c r="J76" s="1">
        <f>SUMIF($G$4:$G$70,"Alaska Musicwood Industries",$J$4:$J$70)</f>
        <v>0</v>
      </c>
      <c r="K76" s="1">
        <f>SUMIF($G$4:$G$70,"Alaska Musicwood Industries",$K$4:$K$70)</f>
        <v>0</v>
      </c>
      <c r="L76" s="2">
        <f>SUMIF($G$4:$G$70,"Alaska Musicwood Industries",$L$4:$L$70)</f>
        <v>0</v>
      </c>
    </row>
    <row r="77" spans="1:12" s="5" customFormat="1" ht="14.25" customHeight="1" x14ac:dyDescent="0.2">
      <c r="B77" s="13">
        <v>100430</v>
      </c>
      <c r="C77" s="15" t="s">
        <v>14</v>
      </c>
      <c r="D77" s="15"/>
      <c r="E77" s="6"/>
      <c r="F77" s="6"/>
      <c r="G77" s="5" t="s">
        <v>55</v>
      </c>
      <c r="I77" s="1">
        <f>SUMIF($G$4:$G$70,"Alaska Tonewood LLC",$I$4:$I$70)</f>
        <v>0</v>
      </c>
      <c r="J77" s="1">
        <f>SUMIF($G$4:$G$70,"Alaska Tonewood LLC",$J$4:$J$70)</f>
        <v>0</v>
      </c>
      <c r="K77" s="1">
        <f>SUMIF($G$4:$G$70,"Alaska Tonewood LLC",$K$4:$K$70)</f>
        <v>0</v>
      </c>
      <c r="L77" s="2">
        <f>SUMIF($G$4:$G$70,"Alaska Tonewood LLC",$L$4:$L$70)</f>
        <v>0</v>
      </c>
    </row>
    <row r="78" spans="1:12" s="5" customFormat="1" ht="14.25" customHeight="1" x14ac:dyDescent="0.2">
      <c r="B78" s="13">
        <v>100521</v>
      </c>
      <c r="C78" s="15" t="s">
        <v>12</v>
      </c>
      <c r="D78" s="15"/>
      <c r="E78" s="6"/>
      <c r="F78" s="6"/>
      <c r="G78" s="5" t="s">
        <v>4</v>
      </c>
      <c r="I78" s="1">
        <f>SUMIF($G$4:$G$70,"Alcan Forest Products LLP",$I$4:$I$70)</f>
        <v>28749.17</v>
      </c>
      <c r="J78" s="1">
        <f>SUMIF($G$4:$G$70,"Alcan Forest Products LLP",$J$4:$J$70)</f>
        <v>28749.17</v>
      </c>
      <c r="K78" s="1">
        <f>SUMIF($G$4:$G$70,"Alcan Forest Products LLP",$K$4:$K$70)</f>
        <v>0</v>
      </c>
      <c r="L78" s="2">
        <f>SUMIF($G$4:$G$70,"Alcan Forest Products LLP",$L$4:$L$70)</f>
        <v>0</v>
      </c>
    </row>
    <row r="79" spans="1:12" s="5" customFormat="1" ht="14.25" customHeight="1" x14ac:dyDescent="0.2">
      <c r="B79" s="13">
        <v>100522</v>
      </c>
      <c r="C79" s="15" t="s">
        <v>13</v>
      </c>
      <c r="D79" s="15"/>
      <c r="E79" s="6"/>
      <c r="F79" s="6"/>
      <c r="G79" s="5" t="s">
        <v>46</v>
      </c>
      <c r="I79" s="1">
        <f>SUMIF($G$4:$G$70,"Alcan Timber Inc",$I$4:$I$70)</f>
        <v>291.19</v>
      </c>
      <c r="J79" s="1">
        <f>SUMIF($G$4:$G$70,"Alcan Timber Inc",$J$4:$J$70)</f>
        <v>291.19</v>
      </c>
      <c r="K79" s="1">
        <f>SUMIF($G$4:$G$70,"Alcan Timber Inc",$K$4:$K$70)</f>
        <v>0</v>
      </c>
      <c r="L79" s="2">
        <f>SUMIF($G$4:$G$70,"Alcan Timber Inc",$L$4:$L$70)</f>
        <v>0</v>
      </c>
    </row>
    <row r="80" spans="1:12" s="5" customFormat="1" ht="14.25" customHeight="1" x14ac:dyDescent="0.2">
      <c r="B80" s="13">
        <v>100531</v>
      </c>
      <c r="C80" s="15" t="s">
        <v>22</v>
      </c>
      <c r="D80" s="15"/>
      <c r="E80" s="6"/>
      <c r="F80" s="6"/>
      <c r="G80" s="5" t="s">
        <v>108</v>
      </c>
      <c r="I80" s="1">
        <f>SUMIF($G$4:$G$70,"Andrew Cowan",$I$4:$I$70)</f>
        <v>4.1900000000000004</v>
      </c>
      <c r="J80" s="1">
        <f>SUMIF($G$4:$G$70,"Andrew Cowan",$J$4:$J$70)</f>
        <v>4.1900000000000004</v>
      </c>
      <c r="K80" s="1">
        <f>SUMIF($G$4:$G$70,"Andrew Cowan",$K$4:$K$70)</f>
        <v>0</v>
      </c>
      <c r="L80" s="2">
        <f>SUMIF($G$4:$G$70,"Andrew Cowan",$L$4:$L$70)</f>
        <v>255.34</v>
      </c>
    </row>
    <row r="81" spans="2:12" s="5" customFormat="1" ht="14.25" customHeight="1" x14ac:dyDescent="0.2">
      <c r="B81" s="13">
        <v>100532</v>
      </c>
      <c r="C81" s="15" t="s">
        <v>8</v>
      </c>
      <c r="D81" s="15"/>
      <c r="E81" s="6"/>
      <c r="F81" s="6"/>
      <c r="G81" s="5" t="s">
        <v>87</v>
      </c>
      <c r="I81" s="1">
        <f>SUMIF($G$4:$G$70,"Andrews and Sons LLC",$I$4:$I$70)</f>
        <v>685</v>
      </c>
      <c r="J81" s="1">
        <f>SUMIF($G$4:$G$70,"Andrews and Sons LLC",$J$4:$J$70)</f>
        <v>0</v>
      </c>
      <c r="K81" s="1">
        <f>SUMIF($G$4:$G$70,"Andrews and Sons LLC",$K$4:$K$70)</f>
        <v>685</v>
      </c>
      <c r="L81" s="2">
        <f>SUMIF($G$4:$G$70,"Andrews and Sons LLC",$L$4:$L$70)</f>
        <v>49744.639999999999</v>
      </c>
    </row>
    <row r="82" spans="2:12" s="5" customFormat="1" ht="14.25" customHeight="1" x14ac:dyDescent="0.2">
      <c r="B82" s="13">
        <v>100533</v>
      </c>
      <c r="C82" s="15" t="s">
        <v>11</v>
      </c>
      <c r="D82" s="15"/>
      <c r="E82" s="6"/>
      <c r="F82" s="6"/>
      <c r="G82" s="5" t="s">
        <v>148</v>
      </c>
      <c r="I82" s="1">
        <f>SUMIF($G$4:$G$70,"Austin Chapman",$I$4:$I$70)</f>
        <v>40</v>
      </c>
      <c r="J82" s="1">
        <f>SUMIF($G$4:$G$70,"Austin Chapman",$J$4:$J$70)</f>
        <v>0</v>
      </c>
      <c r="K82" s="1">
        <f>SUMIF($G$4:$G$70,"Austin Chapman",$K$4:$K$70)</f>
        <v>40</v>
      </c>
      <c r="L82" s="2">
        <f>SUMIF($G$4:$G$70,"Austin Chapman",$L$4:$L$70)</f>
        <v>3004</v>
      </c>
    </row>
    <row r="83" spans="2:12" s="5" customFormat="1" ht="14.25" customHeight="1" x14ac:dyDescent="0.2">
      <c r="B83" s="13">
        <v>100534</v>
      </c>
      <c r="C83" s="15" t="s">
        <v>23</v>
      </c>
      <c r="D83" s="15"/>
      <c r="E83" s="6"/>
      <c r="F83" s="6"/>
      <c r="G83" s="5" t="s">
        <v>153</v>
      </c>
      <c r="I83" s="1">
        <f>SUMIF($G$4:$G$70,"Ben Newton",$I$4:$I$70)</f>
        <v>0</v>
      </c>
      <c r="J83" s="1">
        <f>SUMIF($G$4:$G$70,"Ben Newton",$J$4:$J$70)</f>
        <v>0</v>
      </c>
      <c r="K83" s="1">
        <f>SUMIF($G$4:$G$70,"Ben Newton",$K$4:$K$70)</f>
        <v>0</v>
      </c>
      <c r="L83" s="2">
        <f>SUMIF($G$4:$G$70,"Ben Newton",$L$4:$L$70)</f>
        <v>0</v>
      </c>
    </row>
    <row r="84" spans="2:12" s="5" customFormat="1" ht="14.25" customHeight="1" x14ac:dyDescent="0.2">
      <c r="B84" s="13">
        <v>100535</v>
      </c>
      <c r="C84" s="15" t="s">
        <v>6</v>
      </c>
      <c r="D84" s="15"/>
      <c r="E84" s="6"/>
      <c r="F84" s="6"/>
      <c r="G84" s="5" t="s">
        <v>144</v>
      </c>
      <c r="I84" s="1">
        <f>SUMIF($G$4:$G$70,"Brent Cole",$I$4:$I$70)</f>
        <v>8.16</v>
      </c>
      <c r="J84" s="1">
        <f>SUMIF($G$4:$G$70,"Brent Cole",$J$4:$J$70)</f>
        <v>7.76</v>
      </c>
      <c r="K84" s="1">
        <f>SUMIF($G$4:$G$70,"Brent Cole",$K$4:$K$70)</f>
        <v>0.40000000000000036</v>
      </c>
      <c r="L84" s="2">
        <f>SUMIF($G$4:$G$70,"Brent Cole",$L$4:$L$70)</f>
        <v>0.8</v>
      </c>
    </row>
    <row r="85" spans="2:12" s="5" customFormat="1" ht="14.25" customHeight="1" x14ac:dyDescent="0.2">
      <c r="B85" s="13">
        <v>100551</v>
      </c>
      <c r="C85" s="15" t="s">
        <v>9</v>
      </c>
      <c r="D85" s="15"/>
      <c r="E85" s="6"/>
      <c r="F85" s="6"/>
      <c r="G85" s="5" t="s">
        <v>149</v>
      </c>
      <c r="I85" s="1">
        <f>SUMIF($G$4:$G$70,"Coeur Alaska Inc.",$I$4:$I$70)</f>
        <v>1302.57</v>
      </c>
      <c r="J85" s="1">
        <f>SUMIF($G$4:$G$70,"Coeur Alaska Inc.",$J$4:$J$70)</f>
        <v>0</v>
      </c>
      <c r="K85" s="1">
        <f>SUMIF($G$4:$G$70,"Coeur Alaska Inc.",$K$4:$K$70)</f>
        <v>1302.57</v>
      </c>
      <c r="L85" s="2">
        <f>SUMIF($G$4:$G$70,"Coeur Alaska Inc.",$L$4:$L$70)</f>
        <v>5408.98</v>
      </c>
    </row>
    <row r="86" spans="2:12" s="5" customFormat="1" ht="14.25" customHeight="1" x14ac:dyDescent="0.2">
      <c r="B86" s="13">
        <v>100552</v>
      </c>
      <c r="C86" s="15" t="s">
        <v>10</v>
      </c>
      <c r="D86" s="15"/>
      <c r="E86" s="6"/>
      <c r="F86" s="6"/>
      <c r="G86" s="5" t="s">
        <v>125</v>
      </c>
      <c r="I86" s="1">
        <f>SUMIF($G$4:$G$70,"Daniel Fanning",$I$4:$I$70)</f>
        <v>161.22</v>
      </c>
      <c r="J86" s="1">
        <f>SUMIF($G$4:$G$70,"Daniel Fanning",$J$4:$J$70)</f>
        <v>0</v>
      </c>
      <c r="K86" s="1">
        <f>SUMIF($G$4:$G$70,"Daniel Fanning",$K$4:$K$70)</f>
        <v>161.22</v>
      </c>
      <c r="L86" s="2">
        <f>SUMIF($G$4:$G$70,"Daniel Fanning",$L$4:$L$70)</f>
        <v>22783.21</v>
      </c>
    </row>
    <row r="87" spans="2:12" s="5" customFormat="1" ht="14.25" customHeight="1" x14ac:dyDescent="0.2">
      <c r="B87" s="13">
        <v>100554</v>
      </c>
      <c r="C87" s="15" t="s">
        <v>7</v>
      </c>
      <c r="D87" s="15"/>
      <c r="E87" s="6"/>
      <c r="F87" s="6"/>
      <c r="G87" s="5" t="s">
        <v>174</v>
      </c>
      <c r="I87" s="1">
        <f>SUMIF($G$4:$G$70,"David A. Moyer",$I$4:$I$70)</f>
        <v>97</v>
      </c>
      <c r="J87" s="1">
        <f>SUMIF($G$4:$G$70,"David A. Moyer",$J$4:$J$70)</f>
        <v>0</v>
      </c>
      <c r="K87" s="1">
        <f>SUMIF($G$4:$G$70,"David A. Moyer",$K$4:$K$70)</f>
        <v>97</v>
      </c>
      <c r="L87" s="2">
        <f>SUMIF($G$4:$G$70,"David A. Moyer",$L$4:$L$70)</f>
        <v>9461.3799999999992</v>
      </c>
    </row>
    <row r="88" spans="2:12" s="5" customFormat="1" ht="14.25" customHeight="1" x14ac:dyDescent="0.2">
      <c r="D88" s="15"/>
      <c r="E88" s="6"/>
      <c r="F88" s="6"/>
      <c r="G88" s="5" t="s">
        <v>99</v>
      </c>
      <c r="I88" s="1">
        <f>SUMIF($G$4:$G$70,"Ernie Eads",$I$4:$I$70)</f>
        <v>0</v>
      </c>
      <c r="J88" s="1">
        <f>SUMIF($G$4:$G$70,"Ernie Eads",$J$4:$J$70)</f>
        <v>0</v>
      </c>
      <c r="K88" s="1">
        <f>SUMIF($G$4:$G$70,"Ernie Eads",$K$4:$K$70)</f>
        <v>0</v>
      </c>
      <c r="L88" s="2">
        <f>SUMIF($G$4:$G$70,"Ernie Eads",$L$4:$L$70)</f>
        <v>0</v>
      </c>
    </row>
    <row r="89" spans="2:12" s="5" customFormat="1" ht="14.25" customHeight="1" x14ac:dyDescent="0.2">
      <c r="B89" s="13"/>
      <c r="C89" s="15"/>
      <c r="D89" s="15"/>
      <c r="E89" s="6"/>
      <c r="F89" s="6"/>
      <c r="G89" s="5" t="s">
        <v>219</v>
      </c>
      <c r="I89" s="1">
        <f>SUMIF($G$4:$G$70,"Evergreen Alaska Inc.",$I$4:$I$70)</f>
        <v>399.5</v>
      </c>
      <c r="J89" s="1">
        <f>SUMIF($G$4:$G$70,"Evergreen Alaska Inc.",$J$4:$J$70)</f>
        <v>0</v>
      </c>
      <c r="K89" s="1">
        <f>SUMIF($G$4:$G$70,"Evergreen Alaska Inc.",$K$4:$K$70)</f>
        <v>399.5</v>
      </c>
      <c r="L89" s="2">
        <f>SUMIF($G$4:$G$70,"Evergreen Alaska Inc.",$L$4:$L$70)</f>
        <v>31960</v>
      </c>
    </row>
    <row r="90" spans="2:12" s="5" customFormat="1" ht="14.25" customHeight="1" x14ac:dyDescent="0.2">
      <c r="B90" s="13"/>
      <c r="C90" s="15"/>
      <c r="D90" s="15"/>
      <c r="E90" s="6"/>
      <c r="F90" s="6"/>
      <c r="G90" s="5" t="s">
        <v>136</v>
      </c>
      <c r="I90" s="1">
        <f>SUMIF($G$4:$G$70,"Fair &amp; Square Lumber &amp; Milling",$I$4:$I$70)</f>
        <v>0</v>
      </c>
      <c r="J90" s="1">
        <f>SUMIF($G$4:$G$70,"Fair &amp; Square Lumber &amp; Milling",$J$4:$J$70)</f>
        <v>0</v>
      </c>
      <c r="K90" s="1">
        <f>SUMIF($G$4:$G$70,"Fair &amp; Square Lumber &amp; Milling",$K$4:$K$70)</f>
        <v>0</v>
      </c>
      <c r="L90" s="2">
        <f>SUMIF($G$4:$G$70,"Fair &amp; Square Lumber &amp; Milling",$L$4:$L$70)</f>
        <v>0</v>
      </c>
    </row>
    <row r="91" spans="2:12" s="5" customFormat="1" ht="14.25" customHeight="1" x14ac:dyDescent="0.2">
      <c r="B91" s="13"/>
      <c r="C91" s="15"/>
      <c r="D91" s="15"/>
      <c r="E91" s="6"/>
      <c r="F91" s="6"/>
      <c r="G91" s="22" t="s">
        <v>202</v>
      </c>
      <c r="I91" s="1">
        <f>SUMIF($G$4:$G$70,"Frederick LaCour",$I$4:$I$70)</f>
        <v>0.98</v>
      </c>
      <c r="J91" s="1">
        <f>SUMIF($G$4:$G$70,"Frederick LaCour",$J$4:$J$70)</f>
        <v>0</v>
      </c>
      <c r="K91" s="1">
        <f>SUMIF($G$4:$G$70,"Frederick LaCour",$K$4:$K$70)</f>
        <v>0.98</v>
      </c>
      <c r="L91" s="2">
        <f>SUMIF($G$4:$G$70,"Frederick LaCour",$L$4:$L$70)</f>
        <v>114.68</v>
      </c>
    </row>
    <row r="92" spans="2:12" s="5" customFormat="1" ht="14.25" customHeight="1" x14ac:dyDescent="0.2">
      <c r="B92" s="13"/>
      <c r="C92" s="15"/>
      <c r="D92" s="15"/>
      <c r="E92" s="6"/>
      <c r="F92" s="6"/>
      <c r="G92" s="5" t="s">
        <v>159</v>
      </c>
      <c r="I92" s="1">
        <f>SUMIF($G$4:$G$70,"Gordon W Chew",$I$4:$I$70)</f>
        <v>35.47</v>
      </c>
      <c r="J92" s="1">
        <f>SUMIF($G$4:$G$70,"Gordon W Chew",$J$4:$J$70)</f>
        <v>29.02</v>
      </c>
      <c r="K92" s="1">
        <f>SUMIF($G$4:$G$70,"Gordon W Chew",$K$4:$K$70)</f>
        <v>6.4499999999999993</v>
      </c>
      <c r="L92" s="2">
        <f>SUMIF($G$4:$G$70,"Gordon W Chew",$L$4:$L$70)</f>
        <v>13.61</v>
      </c>
    </row>
    <row r="93" spans="2:12" s="5" customFormat="1" ht="14.25" customHeight="1" x14ac:dyDescent="0.2">
      <c r="B93" s="13"/>
      <c r="C93" s="15"/>
      <c r="D93" s="13"/>
      <c r="E93" s="6"/>
      <c r="F93" s="6"/>
      <c r="G93" s="30" t="s">
        <v>29</v>
      </c>
      <c r="I93" s="1">
        <f>SUMIF($G$4:$G$70,"Hecla Greens Creek Mining",$I$4:$I$70)</f>
        <v>895.92000000000007</v>
      </c>
      <c r="J93" s="1">
        <f>SUMIF($G$4:$G$70,"Hecla Greens Creek Mining",$J$4:$J$70)</f>
        <v>186.33</v>
      </c>
      <c r="K93" s="1">
        <f>SUMIF($G$4:$G$70,"Hecla Greens Creek Mining",$K$4:$K$70)</f>
        <v>709.59</v>
      </c>
      <c r="L93" s="2">
        <f>SUMIF($G$4:$G$70,"Hecla Greens Creek Mining",$L$4:$L$70)</f>
        <v>10766.84</v>
      </c>
    </row>
    <row r="94" spans="2:12" s="5" customFormat="1" ht="14.25" customHeight="1" x14ac:dyDescent="0.2">
      <c r="B94" s="13"/>
      <c r="C94" s="15"/>
      <c r="D94" s="13"/>
      <c r="E94" s="6"/>
      <c r="F94" s="6"/>
      <c r="G94" s="5" t="s">
        <v>30</v>
      </c>
      <c r="I94" s="1">
        <f>SUMIF($G$4:$G$70,"Henry Drechnowicz",$I$4:$I$70)</f>
        <v>79</v>
      </c>
      <c r="J94" s="1">
        <f>SUMIF($G$4:$G$70,"Henry Drechnowicz",$J$4:$J$70)</f>
        <v>79</v>
      </c>
      <c r="K94" s="1">
        <f>SUMIF($G$4:$G$70,"Henry Drechnowicz",$K$4:$K$70)</f>
        <v>0</v>
      </c>
      <c r="L94" s="2">
        <f>SUMIF($G$4:$G$70,"Henry Drechnowicz",$L$4:$L$70)</f>
        <v>0</v>
      </c>
    </row>
    <row r="95" spans="2:12" s="5" customFormat="1" ht="14.25" customHeight="1" x14ac:dyDescent="0.2">
      <c r="B95" s="13"/>
      <c r="C95" s="15"/>
      <c r="D95" s="15"/>
      <c r="E95" s="6"/>
      <c r="F95" s="6"/>
      <c r="G95" s="5" t="s">
        <v>5</v>
      </c>
      <c r="I95" s="1">
        <f>SUMIF($G$4:$G$70,"Icy Straits Lumber &amp; Mill",$I$4:$I$70)</f>
        <v>504.94000000000005</v>
      </c>
      <c r="J95" s="1">
        <f t="array" ref="J95">SUMIF($G$4:$G$70,"Icy Straits Lumber &amp; Mill",$J$4:$J$70)</f>
        <v>169.95</v>
      </c>
      <c r="K95" s="1">
        <f t="array" ref="K95">SUMIF($G$4:$G$70,"Icy Straits Lumber &amp; Mill",$K$4:$K$70)</f>
        <v>334.99</v>
      </c>
      <c r="L95" s="2">
        <f t="array" ref="L95">SUMIF($G$4:$G$70,"Icy Straits Lumber &amp; Mill",$L$4:$L$70)</f>
        <v>12556.77</v>
      </c>
    </row>
    <row r="96" spans="2:12" s="5" customFormat="1" ht="14.25" customHeight="1" x14ac:dyDescent="0.2">
      <c r="B96" s="13"/>
      <c r="C96" s="15"/>
      <c r="D96" s="15"/>
      <c r="E96" s="6"/>
      <c r="F96" s="6"/>
      <c r="G96" s="5" t="s">
        <v>105</v>
      </c>
      <c r="I96" s="1">
        <f>SUMIF($G$4:$G$70,"James Stevens",$I$4:$I$70)</f>
        <v>156</v>
      </c>
      <c r="J96" s="1">
        <f>SUMIF($G$4:$G$70,"James Stevens",$J$4:$J$70)</f>
        <v>0</v>
      </c>
      <c r="K96" s="1">
        <f>SUMIF($G$4:$G$70,"James Stevens",$K$4:$K$70)</f>
        <v>156</v>
      </c>
      <c r="L96" s="2">
        <f>SUMIF($G$4:$G$70,"James Stevens",$L$4:$L$70)</f>
        <v>31251.96</v>
      </c>
    </row>
    <row r="97" spans="2:12" s="5" customFormat="1" ht="14.25" customHeight="1" x14ac:dyDescent="0.2">
      <c r="B97" s="13"/>
      <c r="C97" s="15"/>
      <c r="D97" s="15"/>
      <c r="E97" s="6"/>
      <c r="F97" s="6"/>
      <c r="G97" s="5" t="s">
        <v>102</v>
      </c>
      <c r="I97" s="1">
        <f>SUMIF($G$4:$G$70,"Jerry Baker",$I$4:$I$70)</f>
        <v>0</v>
      </c>
      <c r="J97" s="1">
        <f>SUMIF($G$4:$G$70,"Jerry Baker",$J$4:$J$70)</f>
        <v>0</v>
      </c>
      <c r="K97" s="1">
        <f>SUMIF($G$4:$G$70,"Jerry Baker",$K$4:$K$70)</f>
        <v>0</v>
      </c>
      <c r="L97" s="2">
        <f>SUMIF($G$4:$G$70,"Jerry Baker",$L$4:$L$70)</f>
        <v>0</v>
      </c>
    </row>
    <row r="98" spans="2:12" s="5" customFormat="1" ht="14.25" customHeight="1" x14ac:dyDescent="0.2">
      <c r="B98" s="13"/>
      <c r="C98" s="15"/>
      <c r="D98" s="15"/>
      <c r="E98" s="6"/>
      <c r="F98" s="6"/>
      <c r="G98" s="5" t="s">
        <v>33</v>
      </c>
      <c r="I98" s="1">
        <f>SUMIF($G$4:$G$69,"Jerod Cook",$I$4:$I$69)</f>
        <v>0</v>
      </c>
      <c r="J98" s="1">
        <f>SUMIF($G$4:$G$70,"Jerod Cook",$J$4:$J$70)</f>
        <v>0</v>
      </c>
      <c r="K98" s="1">
        <f>SUMIF($G$4:$G$70,"Jerod Cook",$K$4:$K$70)</f>
        <v>0</v>
      </c>
      <c r="L98" s="2">
        <f>SUMIF($G$4:$G$70,"Jerod Cook",$L$4:$L$70)</f>
        <v>0</v>
      </c>
    </row>
    <row r="99" spans="2:12" s="5" customFormat="1" ht="14.25" customHeight="1" x14ac:dyDescent="0.2">
      <c r="B99" s="15"/>
      <c r="C99" s="15"/>
      <c r="D99" s="15"/>
      <c r="E99" s="6"/>
      <c r="F99" s="6"/>
      <c r="G99" s="5" t="s">
        <v>101</v>
      </c>
      <c r="I99" s="1">
        <f>SUMIF($G$4:$G$69,"JK Forest Products LLC",$I$4:$I$69)</f>
        <v>1207.1099999999999</v>
      </c>
      <c r="J99" s="1">
        <f>SUMIF($G$4:$G$70,"JK Forest Products LLC",$J$4:$J$70)</f>
        <v>337.08</v>
      </c>
      <c r="K99" s="1">
        <f>SUMIF($G$4:$G$70,"JK Forest Products LLC",$K$4:$K$70)</f>
        <v>870.02999999999986</v>
      </c>
      <c r="L99" s="2">
        <f>SUMIF($G$4:$G$70,"JK Forest Products LLC",$L$4:$L$70)</f>
        <v>21445.77</v>
      </c>
    </row>
    <row r="100" spans="2:12" s="5" customFormat="1" ht="14.25" customHeight="1" x14ac:dyDescent="0.2">
      <c r="B100" s="15"/>
      <c r="C100" s="15"/>
      <c r="D100" s="15"/>
      <c r="E100" s="6"/>
      <c r="F100" s="6"/>
      <c r="G100" s="5" t="s">
        <v>152</v>
      </c>
      <c r="I100" s="1">
        <f>SUMIF($G$4:$G$69,"Joshua Shoop",$I$4:$I$69)</f>
        <v>0</v>
      </c>
      <c r="J100" s="1">
        <f>SUMIF($G$4:$G$70,"Joshua Shoop",$J$4:$J$70)</f>
        <v>0</v>
      </c>
      <c r="K100" s="1">
        <f>SUMIF($G$4:$G$70,"Joshua Shoop",$K$4:$K$70)</f>
        <v>0</v>
      </c>
      <c r="L100" s="2">
        <f>SUMIF($G$4:$G$70,"Joshua Shoop",$L$4:$L$70)</f>
        <v>0</v>
      </c>
    </row>
    <row r="101" spans="2:12" s="5" customFormat="1" ht="14.25" customHeight="1" x14ac:dyDescent="0.2">
      <c r="B101" s="15"/>
      <c r="C101" s="15"/>
      <c r="D101" s="15"/>
      <c r="E101" s="6"/>
      <c r="F101" s="6"/>
      <c r="G101" s="5" t="s">
        <v>45</v>
      </c>
      <c r="I101" s="1">
        <f>SUMIF($G$4:$G$70,"K &amp; D Lumber",$I$4:$I$70)</f>
        <v>0</v>
      </c>
      <c r="J101" s="1">
        <f>SUMIF($G$4:$G$70,"K &amp; D Lumber",$J$4:$J$70)</f>
        <v>0</v>
      </c>
      <c r="K101" s="1">
        <f>SUMIF($G$4:$G$70,"K &amp; D Lumber",$K$4:$K$70)</f>
        <v>0</v>
      </c>
      <c r="L101" s="2">
        <f>SUMIF($G$4:$G$70,"K &amp; D Lumber",$L$4:$L$70)</f>
        <v>0</v>
      </c>
    </row>
    <row r="102" spans="2:12" s="5" customFormat="1" ht="14.25" customHeight="1" x14ac:dyDescent="0.2">
      <c r="B102" s="15"/>
      <c r="C102" s="15"/>
      <c r="D102" s="15"/>
      <c r="E102" s="6"/>
      <c r="F102" s="6"/>
      <c r="G102" s="5" t="s">
        <v>116</v>
      </c>
      <c r="I102" s="1">
        <f>SUMIF($G$4:$G$70,"Kari Baekkelund",$I$4:$I$70)</f>
        <v>0</v>
      </c>
      <c r="J102" s="1">
        <f>SUMIF($G$4:$G$70,"Kari Baekkelund",$J$4:$J$70)</f>
        <v>0</v>
      </c>
      <c r="K102" s="1">
        <f>SUMIF($G$4:$G$70,"Kari Baekkelund",$K$4:$K$70)</f>
        <v>0</v>
      </c>
      <c r="L102" s="2">
        <f>SUMIF($G$4:$G$70,"Kari Baekkelund",$L$4:$L$70)</f>
        <v>0</v>
      </c>
    </row>
    <row r="103" spans="2:12" s="5" customFormat="1" ht="14.25" customHeight="1" x14ac:dyDescent="0.2">
      <c r="B103" s="15"/>
      <c r="C103" s="15"/>
      <c r="D103" s="15"/>
      <c r="E103" s="6"/>
      <c r="F103" s="6"/>
      <c r="G103" s="5" t="s">
        <v>142</v>
      </c>
      <c r="I103" s="1">
        <f>SUMIF($G$4:$G$70,"Kevin Merry",$I$4:$I$70)</f>
        <v>0</v>
      </c>
      <c r="J103" s="1">
        <f>SUMIF($G$4:$G$70,"Kevin Merry",$J$4:$J$70)</f>
        <v>0</v>
      </c>
      <c r="K103" s="1">
        <f>SUMIF($G$4:$G$70,"Kevin Merry",$K$4:$K$70)</f>
        <v>0</v>
      </c>
      <c r="L103" s="2">
        <f>SUMIF($G$4:$G$70,"Kevin Merry",$L$4:$L$70)</f>
        <v>0</v>
      </c>
    </row>
    <row r="104" spans="2:12" s="5" customFormat="1" ht="14.25" customHeight="1" x14ac:dyDescent="0.2">
      <c r="B104" s="15"/>
      <c r="C104" s="15"/>
      <c r="D104" s="15"/>
      <c r="E104" s="6"/>
      <c r="F104" s="6"/>
      <c r="G104" s="5" t="s">
        <v>72</v>
      </c>
      <c r="I104" s="1">
        <f>SUMIF($G$4:$G$70,"Luther J. Coby",$I$4:$I$70)</f>
        <v>2.84</v>
      </c>
      <c r="J104" s="1">
        <f>SUMIF($G$4:$G$70,"Luther J. Coby",$J$4:$J$70)</f>
        <v>0.48</v>
      </c>
      <c r="K104" s="1">
        <f>SUMIF($G$4:$G$70,"Luther J. Coby",$K$4:$K$70)</f>
        <v>2.36</v>
      </c>
      <c r="L104" s="2">
        <f>SUMIF($G$4:$G$70,"Luther J. Coby",$L$4:$L$70)</f>
        <v>343.32</v>
      </c>
    </row>
    <row r="105" spans="2:12" s="5" customFormat="1" ht="14.25" customHeight="1" x14ac:dyDescent="0.2">
      <c r="B105" s="15"/>
      <c r="C105" s="15"/>
      <c r="D105" s="15"/>
      <c r="E105" s="6"/>
      <c r="F105" s="6"/>
      <c r="G105" s="5" t="s">
        <v>138</v>
      </c>
      <c r="I105" s="1">
        <f>SUMIF($G$4:$G$70,"Mark Mitchell",$I$4:$I$70)</f>
        <v>0</v>
      </c>
      <c r="J105" s="1">
        <f>SUMIF($G$4:$G$70,"Mark Mitchell",$J$4:$J$70)</f>
        <v>0</v>
      </c>
      <c r="K105" s="1">
        <f>SUMIF($G$4:$G$70,"Mark Mitchell",$K$4:$K$70)</f>
        <v>0</v>
      </c>
      <c r="L105" s="2">
        <f>SUMIF($G$4:$G$70,"Mark Mitchell",$L$4:$L$70)</f>
        <v>0</v>
      </c>
    </row>
    <row r="106" spans="2:12" s="5" customFormat="1" ht="14.25" customHeight="1" x14ac:dyDescent="0.2">
      <c r="B106" s="15"/>
      <c r="C106" s="15"/>
      <c r="D106" s="15"/>
      <c r="E106" s="6"/>
      <c r="F106" s="6"/>
      <c r="G106" s="5" t="s">
        <v>139</v>
      </c>
      <c r="I106" s="1">
        <f>SUMIF($G$4:$G$70,"Mike Matney",$I$4:$I$70)</f>
        <v>131.97999999999999</v>
      </c>
      <c r="J106" s="1">
        <f>SUMIF($G$4:$G$70,"Mike Matney",$J$4:$J$70)</f>
        <v>0</v>
      </c>
      <c r="K106" s="1">
        <f>SUMIF($G$4:$G$70,"Mike Matney",$K$4:$K$70)</f>
        <v>131.97999999999999</v>
      </c>
      <c r="L106" s="2">
        <f>SUMIF($G$4:$G$70,"Mike Matney",$L$4:$L$70)</f>
        <v>19283.47</v>
      </c>
    </row>
    <row r="107" spans="2:12" s="5" customFormat="1" ht="14.25" customHeight="1" x14ac:dyDescent="0.2">
      <c r="B107" s="15"/>
      <c r="C107" s="15"/>
      <c r="D107" s="15"/>
      <c r="E107" s="6"/>
      <c r="F107" s="6"/>
      <c r="G107" s="5" t="s">
        <v>42</v>
      </c>
      <c r="I107" s="1">
        <f>SUMIF($G$4:$G$70,"Micheal B Allen Jr",$I$4:$I$70)</f>
        <v>12454.63</v>
      </c>
      <c r="J107" s="1">
        <f>SUMIF($G$4:$G$70,"Micheal B Allen Jr",$J$4:$J$70)</f>
        <v>7330.63</v>
      </c>
      <c r="K107" s="1">
        <f>SUMIF($G$4:$G$70,"Micheal B Allen Jr",$K$4:$K$70)</f>
        <v>5123.9999999999991</v>
      </c>
      <c r="L107" s="2">
        <f>SUMIF($G$4:$G$70,"Micheal B Allen Jr",$L$4:$L$70)</f>
        <v>41064.629999999997</v>
      </c>
    </row>
    <row r="108" spans="2:12" s="5" customFormat="1" ht="14.25" customHeight="1" x14ac:dyDescent="0.2">
      <c r="B108" s="15"/>
      <c r="C108" s="15"/>
      <c r="D108" s="15"/>
      <c r="E108" s="6"/>
      <c r="F108" s="6"/>
      <c r="G108" s="5" t="s">
        <v>185</v>
      </c>
      <c r="I108" s="1">
        <f>SUMIF($G$4:$G$70,"Mitkof Milling, LLC",$I$4:$I$70)</f>
        <v>7</v>
      </c>
      <c r="J108" s="1">
        <f>SUMIF($G$4:$G$70,"Mitkof Milling, LLC",$J$4:$J$70)</f>
        <v>0</v>
      </c>
      <c r="K108" s="1">
        <f>SUMIF($G$4:$G$70,"Mitkof Milling, LLC",$K$4:$K$70)</f>
        <v>7</v>
      </c>
      <c r="L108" s="2">
        <f>SUMIF($G$4:$G$70,"Mitkof Milling, LLC",$L$4:$L$70)</f>
        <v>463.89</v>
      </c>
    </row>
    <row r="109" spans="2:12" s="5" customFormat="1" ht="14.25" customHeight="1" x14ac:dyDescent="0.2">
      <c r="B109" s="15"/>
      <c r="C109" s="15"/>
      <c r="D109" s="15"/>
      <c r="E109" s="6"/>
      <c r="F109" s="6"/>
      <c r="G109" s="5" t="s">
        <v>135</v>
      </c>
      <c r="I109" s="1">
        <f>SUMIF($G$4:$G$70,"Patrick Fowler",$I$4:$I$70)</f>
        <v>0</v>
      </c>
      <c r="J109" s="1">
        <f>SUMIF($G$4:$G$70,"Patrick Fowler",$J$4:$J$70)</f>
        <v>0</v>
      </c>
      <c r="K109" s="1">
        <f>SUMIF($G$4:$G$70,"Patrick Fowler",$K$4:$K$70)</f>
        <v>0</v>
      </c>
      <c r="L109" s="2">
        <f>SUMIF($G$4:$G$70,"Patrick Fowler",$L$4:$L$70)</f>
        <v>0</v>
      </c>
    </row>
    <row r="110" spans="2:12" s="5" customFormat="1" ht="14.25" customHeight="1" x14ac:dyDescent="0.2">
      <c r="B110" s="15"/>
      <c r="C110" s="15"/>
      <c r="D110" s="15"/>
      <c r="E110" s="6"/>
      <c r="F110" s="6"/>
      <c r="G110" s="5" t="s">
        <v>143</v>
      </c>
      <c r="I110" s="1">
        <f>SUMIF($G$4:$G$70,"Peak Engineering",$I$4:$I$70)</f>
        <v>357.4</v>
      </c>
      <c r="J110" s="1">
        <f>SUMIF($G$4:$G$70,"Peak Engineering",$J$4:$J$70)</f>
        <v>14.45</v>
      </c>
      <c r="K110" s="1">
        <f>SUMIF($G$4:$G$70,"Peak Engineering",$K$4:$K$70)</f>
        <v>342.95</v>
      </c>
      <c r="L110" s="2">
        <f>SUMIF($G$4:$G$70,"Peak Engineering",$L$4:$L$70)</f>
        <v>28275.119999999999</v>
      </c>
    </row>
    <row r="111" spans="2:12" s="5" customFormat="1" ht="14.25" customHeight="1" x14ac:dyDescent="0.2">
      <c r="B111" s="15"/>
      <c r="C111" s="15"/>
      <c r="D111" s="15"/>
      <c r="E111" s="6"/>
      <c r="F111" s="6"/>
      <c r="G111" s="5" t="s">
        <v>123</v>
      </c>
      <c r="I111" s="1">
        <f>SUMIF($G$4:$G$70,"Peter J Litsheim",$I$4:$I$70)</f>
        <v>599.17999999999995</v>
      </c>
      <c r="J111" s="1">
        <f>SUMIF($G$4:$G$70,"Peter J Litsheim",$J$4:$J$70)</f>
        <v>0</v>
      </c>
      <c r="K111" s="1">
        <f>SUMIF($G$4:$G$70,"Peter J Litsheim",$K$4:$K$70)</f>
        <v>599.17999999999995</v>
      </c>
      <c r="L111" s="2">
        <f>SUMIF($G$4:$G$70,"Peter J Litsheim",$L$4:$L$70)</f>
        <v>52002.83</v>
      </c>
    </row>
    <row r="112" spans="2:12" s="5" customFormat="1" ht="14.25" customHeight="1" x14ac:dyDescent="0.2">
      <c r="B112" s="15"/>
      <c r="C112" s="15"/>
      <c r="D112" s="15"/>
      <c r="E112" s="6"/>
      <c r="F112" s="6"/>
      <c r="G112" s="5" t="s">
        <v>2</v>
      </c>
      <c r="I112" s="1">
        <f>SUMIF($G$4:$G$70,"Porter Lumber",$I$4:$I$70)</f>
        <v>0</v>
      </c>
      <c r="J112" s="1">
        <f t="array" ref="J112">SUMIF($G$4:$G$70,"Porter Lumber",$J$4:$J$70)</f>
        <v>0</v>
      </c>
      <c r="K112" s="1">
        <f t="array" ref="K112">SUMIF($G$4:$G$70,"Porter Lumber",$K$4:$K$70)</f>
        <v>0</v>
      </c>
      <c r="L112" s="2">
        <f t="array" ref="L112">SUMIF($G$4:$G$70,"Porter Lumber",$L$4:$L$70)</f>
        <v>0</v>
      </c>
    </row>
    <row r="113" spans="1:12" s="5" customFormat="1" ht="14.25" customHeight="1" x14ac:dyDescent="0.2">
      <c r="B113" s="15"/>
      <c r="C113" s="15"/>
      <c r="D113" s="15"/>
      <c r="E113" s="6"/>
      <c r="F113" s="6"/>
      <c r="G113" s="5" t="s">
        <v>36</v>
      </c>
      <c r="I113" s="1">
        <f>SUMIF($G$4:$G$70,"Ralph Dean Blankenship",$I$4:$I$70)</f>
        <v>0</v>
      </c>
      <c r="J113" s="1">
        <f>SUMIF($G$4:$G$70,"Ralph Dean Blankenship",$J$4:$J$70)</f>
        <v>0</v>
      </c>
      <c r="K113" s="1">
        <f>SUMIF($G$4:$G$70,"Ralph Dean Blankenship",$K$4:$K$70)</f>
        <v>0</v>
      </c>
      <c r="L113" s="2">
        <f>SUMIF($G$4:$G$70,"Ralph Dean Blankenship",$L$4:$L$70)</f>
        <v>0</v>
      </c>
    </row>
    <row r="114" spans="1:12" s="5" customFormat="1" ht="14.25" customHeight="1" x14ac:dyDescent="0.2">
      <c r="B114" s="15"/>
      <c r="C114" s="15"/>
      <c r="D114" s="69"/>
      <c r="E114" s="6"/>
      <c r="F114" s="6"/>
      <c r="G114" s="5" t="s">
        <v>211</v>
      </c>
      <c r="I114" s="1">
        <f>SUMIF($G$4:$G$70,"Ricky Perkins",$I$4:$I$70)</f>
        <v>4.45</v>
      </c>
      <c r="J114" s="1">
        <f>SUMIF($G$4:$G$70,"Ricky Perkins",$J$4:$J$70)</f>
        <v>0</v>
      </c>
      <c r="K114" s="1">
        <f>SUMIF($G$4:$G$70,"Ricky Perkins",$K$4:$K$70)</f>
        <v>4.45</v>
      </c>
      <c r="L114" s="2">
        <f>SUMIF($G$4:$G$70,"Ricky Perkins",$L$4:$L$70)</f>
        <v>8.99</v>
      </c>
    </row>
    <row r="115" spans="1:12" s="5" customFormat="1" ht="14.25" customHeight="1" x14ac:dyDescent="0.2">
      <c r="B115" s="15"/>
      <c r="C115" s="15"/>
      <c r="D115" s="15"/>
      <c r="E115" s="6"/>
      <c r="F115" s="6"/>
      <c r="G115" s="5" t="s">
        <v>147</v>
      </c>
      <c r="I115" s="1">
        <f>SUMIF($G$4:$G$70,"Shortcut Timber Salvage",$I$4:$I$70)</f>
        <v>0</v>
      </c>
      <c r="J115" s="1">
        <f>SUMIF($G$4:$G$70,"Shortcut Timber Salvage",$J$4:$J$70)</f>
        <v>0</v>
      </c>
      <c r="K115" s="1">
        <f>SUMIF($G$4:$G$70,"Shortcut Timber Salvage",$K$4:$K$70)</f>
        <v>0</v>
      </c>
      <c r="L115" s="2">
        <f>SUMIF($G$4:$G$70,"Shortcut Timber Salvage",$L$4:$L$70)</f>
        <v>0</v>
      </c>
    </row>
    <row r="116" spans="1:12" s="5" customFormat="1" ht="14.25" customHeight="1" x14ac:dyDescent="0.2">
      <c r="B116" s="15"/>
      <c r="C116" s="15"/>
      <c r="D116" s="15"/>
      <c r="E116" s="6"/>
      <c r="F116" s="6"/>
      <c r="G116" s="5" t="s">
        <v>88</v>
      </c>
      <c r="I116" s="1">
        <f>SUMIF($G$4:$G$70,"Spencer F Pitcher",$I$4:$I$70)</f>
        <v>0</v>
      </c>
      <c r="J116" s="1">
        <f>SUMIF($G$4:$G$70,"Spencer F Pitcher",$J$4:$J$70)</f>
        <v>0</v>
      </c>
      <c r="K116" s="1">
        <f>SUMIF($G$4:$G$70,"Spencer F Pitcher",$K$4:$K$70)</f>
        <v>0</v>
      </c>
      <c r="L116" s="2">
        <f>SUMIF($G$4:$G$70,"Spencer F Pitcher",$L$4:$L$70)</f>
        <v>0</v>
      </c>
    </row>
    <row r="117" spans="1:12" s="5" customFormat="1" ht="14.25" customHeight="1" x14ac:dyDescent="0.2">
      <c r="B117" s="15"/>
      <c r="C117" s="15"/>
      <c r="D117" s="15"/>
      <c r="E117" s="6"/>
      <c r="F117" s="6"/>
      <c r="G117" s="5" t="s">
        <v>91</v>
      </c>
      <c r="I117" s="1">
        <f>SUMIF($G$4:$G$70,"Sterling Chew",$I$4:$I$70)</f>
        <v>0</v>
      </c>
      <c r="J117" s="1">
        <f>SUMIF($G$4:$G$70,"Sterling Chew",$J$4:$J$70)</f>
        <v>0</v>
      </c>
      <c r="K117" s="1">
        <f>SUMIF($G$4:$G$70,"Sterling Chew",$K$4:$K$70)</f>
        <v>0</v>
      </c>
      <c r="L117" s="2">
        <f>SUMIF($G$4:$G$70,"Sterling Chew",$L$4:$L$70)</f>
        <v>0</v>
      </c>
    </row>
    <row r="118" spans="1:12" x14ac:dyDescent="0.2">
      <c r="B118" s="15"/>
      <c r="C118" s="15"/>
      <c r="D118" s="15"/>
      <c r="E118" s="6"/>
      <c r="F118" s="6"/>
      <c r="G118" s="5" t="s">
        <v>89</v>
      </c>
      <c r="H118" s="5"/>
      <c r="I118" s="1">
        <f>SUMIF($G$4:$G$70,"State of Alaska",$I$4:$I$70)</f>
        <v>2729.9</v>
      </c>
      <c r="J118" s="1">
        <f>SUMIF($G$4:$G$70,"State of Alaska",$J$4:$J$70)</f>
        <v>0</v>
      </c>
      <c r="K118" s="1">
        <f>SUMIF($G$4:$G$70,"State of Alaska",$K$4:$K$70)</f>
        <v>2729.9</v>
      </c>
      <c r="L118" s="2">
        <f>SUMIF($G$4:$G$70,"State of Alaska",$L$4:$L$70)</f>
        <v>0</v>
      </c>
    </row>
    <row r="119" spans="1:12" ht="15.4" customHeight="1" x14ac:dyDescent="0.2">
      <c r="A119" s="70"/>
      <c r="C119" s="15"/>
      <c r="D119" s="15"/>
      <c r="E119" s="6"/>
      <c r="F119" s="6"/>
      <c r="G119" s="5" t="s">
        <v>137</v>
      </c>
      <c r="H119" s="5"/>
      <c r="I119" s="1">
        <f>SUMIF($G$4:$G$70,"State of Alaska, DOT &amp; Public Fac.",$I$4:$I$70)</f>
        <v>0</v>
      </c>
      <c r="J119" s="1">
        <f>SUMIF($G$4:$G$70,"State of Alaska, DOT &amp; Public Fac.",$J$4:$J$70)</f>
        <v>0</v>
      </c>
      <c r="K119" s="1">
        <f>SUMIF($G$4:$G$70,"State of Alaska, DOT &amp; Public Fac.",$K$4:$K$70)</f>
        <v>0</v>
      </c>
      <c r="L119" s="2">
        <f>SUMIF($G$4:$G$70,"State of Alaska, DOT &amp; Public Fac.",$L$4:$L$70)</f>
        <v>0</v>
      </c>
    </row>
    <row r="120" spans="1:12" s="5" customFormat="1" x14ac:dyDescent="0.2">
      <c r="B120" s="69"/>
      <c r="C120" s="15"/>
      <c r="D120" s="15"/>
      <c r="E120" s="6"/>
      <c r="F120" s="6"/>
      <c r="G120" s="5" t="s">
        <v>97</v>
      </c>
      <c r="I120" s="1">
        <f>SUMIF($G$4:$G$70,"The Nature Conservancy",$I$4:$I$70)</f>
        <v>0</v>
      </c>
      <c r="J120" s="1">
        <f>SUMIF($G$4:$G$70,"The Nature Conservancy",$J$4:$J$70)</f>
        <v>0</v>
      </c>
      <c r="K120" s="1">
        <f>SUMIF($G$4:$G$70,"The Nature Conservancy",$K$4:$K$70)</f>
        <v>0</v>
      </c>
      <c r="L120" s="2">
        <f>SUMIF($G$4:$G$70,"The Nature Conservancy",$L$4:$L$70)</f>
        <v>0</v>
      </c>
    </row>
    <row r="121" spans="1:12" s="5" customFormat="1" x14ac:dyDescent="0.2">
      <c r="B121" s="13"/>
      <c r="C121" s="15"/>
      <c r="D121" s="15"/>
      <c r="E121" s="6"/>
      <c r="F121" s="19"/>
      <c r="G121" s="5" t="s">
        <v>48</v>
      </c>
      <c r="I121" s="1">
        <f>SUMIF($G$4:$G$70,"T.L.C. Management, LLC",$I$4:$I$70)</f>
        <v>52.91</v>
      </c>
      <c r="J121" s="1">
        <f>SUMIF($G$4:$G$70,"T.L.C. Management, LLC",$J$4:$J$70)</f>
        <v>0</v>
      </c>
      <c r="K121" s="1">
        <f>SUMIF($G$4:$G$70,"T.L.C. Management, LLC",$K$4:$K$70)</f>
        <v>52.91</v>
      </c>
      <c r="L121" s="2">
        <f>SUMIF($G$4:$G$70,"T.L.C. Management, LLC",$L$4:$L$70)</f>
        <v>3289.21</v>
      </c>
    </row>
    <row r="122" spans="1:12" s="5" customFormat="1" x14ac:dyDescent="0.2">
      <c r="B122" s="13"/>
      <c r="D122" s="15"/>
      <c r="E122" s="19"/>
      <c r="F122" s="75"/>
      <c r="G122" s="29" t="s">
        <v>213</v>
      </c>
      <c r="I122" s="37">
        <v>94.66</v>
      </c>
      <c r="J122" s="37">
        <v>94.66</v>
      </c>
      <c r="K122" s="37">
        <v>0</v>
      </c>
      <c r="L122" s="38">
        <v>0</v>
      </c>
    </row>
    <row r="123" spans="1:12" s="5" customFormat="1" x14ac:dyDescent="0.2">
      <c r="B123" s="13"/>
      <c r="C123" s="15"/>
      <c r="D123" s="15"/>
      <c r="E123" s="19"/>
      <c r="F123" s="75"/>
      <c r="G123" s="30" t="s">
        <v>161</v>
      </c>
      <c r="I123" s="1">
        <f>SUMIF($G$4:$G$70,"Vicky Hayes",$I$4:$I$70)</f>
        <v>0.85</v>
      </c>
      <c r="J123" s="1">
        <f>SUMIF($G$4:$G$70,"Vicky Hayes",$J$4:$J$70)</f>
        <v>0</v>
      </c>
      <c r="K123" s="1">
        <f>SUMIF($G$4:$G$70,"Vicky Hayes",$K$4:$K$70)</f>
        <v>0.85</v>
      </c>
      <c r="L123" s="2">
        <f>SUMIF($G$4:$G$70,"Vicky Hayes",$L$4:$L$70)</f>
        <v>90.19</v>
      </c>
    </row>
    <row r="124" spans="1:12" s="5" customFormat="1" x14ac:dyDescent="0.2">
      <c r="B124" s="13"/>
      <c r="C124" s="15"/>
      <c r="D124" s="15"/>
      <c r="E124" s="19"/>
      <c r="F124" s="75"/>
      <c r="G124" s="5" t="s">
        <v>16</v>
      </c>
      <c r="I124" s="1">
        <f>SUMIF($G$4:$G$70,"Viking Lumber Company",$I$4:$I$70)</f>
        <v>130977.37</v>
      </c>
      <c r="J124" s="1">
        <f t="array" ref="J124">SUMIF($G$4:$G$70,"Viking Lumber Company",$J$4:$J$70)</f>
        <v>128045.59999999999</v>
      </c>
      <c r="K124" s="1">
        <f t="array" ref="K124">SUMIF($G$4:$G$70,"Viking Lumber Company",$K$4:$K$70)</f>
        <v>2931.7700000000059</v>
      </c>
      <c r="L124" s="2">
        <f t="array" ref="L124">SUMIF($G$4:$G$70,"Viking Lumber Company",$L$4:$L$70)</f>
        <v>47146.65</v>
      </c>
    </row>
    <row r="125" spans="1:12" s="5" customFormat="1" x14ac:dyDescent="0.2">
      <c r="B125" s="13"/>
      <c r="C125" s="15"/>
      <c r="D125" s="15"/>
      <c r="E125" s="19"/>
      <c r="F125" s="75"/>
      <c r="G125" s="5" t="s">
        <v>53</v>
      </c>
      <c r="I125" s="1">
        <f>SUMIF($G$4:$G$70,"Western Gold Cedar Products",$I$4:$I$70)</f>
        <v>5203.54</v>
      </c>
      <c r="J125" s="1">
        <f>SUMIF($G$4:$G$70,"Western Gold Cedar Products",$J$4:$J$70)</f>
        <v>1634.79</v>
      </c>
      <c r="K125" s="1">
        <f>SUMIF($G$4:$G$70,"Western Gold Cedar Products",$K$4:$K$70)</f>
        <v>3568.75</v>
      </c>
      <c r="L125" s="2">
        <f>SUMIF($G$4:$G$70,"Western Gold Cedar Products",$L$4:$L$70)</f>
        <v>577913.54</v>
      </c>
    </row>
    <row r="126" spans="1:12" s="5" customFormat="1" x14ac:dyDescent="0.2">
      <c r="B126" s="13"/>
      <c r="C126" s="15"/>
      <c r="D126" s="15"/>
      <c r="E126" s="19"/>
      <c r="F126" s="75"/>
      <c r="G126" s="5" t="s">
        <v>109</v>
      </c>
      <c r="H126" s="18"/>
      <c r="I126" s="1">
        <f>SUMIF($G$4:$G$70,"William Kaufman",$I$4:$I$70)</f>
        <v>5.59</v>
      </c>
      <c r="J126" s="1">
        <f>SUMIF($G$4:$G$70,"William Kaufman",$J$4:$J$70)</f>
        <v>0</v>
      </c>
      <c r="K126" s="1">
        <f>SUMIF($G$4:$G$70,"William Kaufman",$K$4:$K$70)</f>
        <v>5.59</v>
      </c>
      <c r="L126" s="2">
        <f>SUMIF($G$4:$G$70,"William Kaufman",$L$4:$L$70)</f>
        <v>628.93000000000006</v>
      </c>
    </row>
    <row r="127" spans="1:12" s="5" customFormat="1" ht="15.75" thickBot="1" x14ac:dyDescent="0.25">
      <c r="B127" s="13"/>
      <c r="C127" s="9" t="s">
        <v>77</v>
      </c>
      <c r="D127" s="15"/>
      <c r="E127" s="19"/>
      <c r="F127" s="75"/>
      <c r="H127" s="7"/>
      <c r="I127" s="3"/>
      <c r="J127" s="3"/>
      <c r="K127" s="3"/>
      <c r="L127" s="4"/>
    </row>
    <row r="128" spans="1:12" s="5" customFormat="1" x14ac:dyDescent="0.2">
      <c r="B128" s="13"/>
      <c r="C128" s="15"/>
      <c r="D128" s="15"/>
      <c r="E128" s="19"/>
      <c r="F128" s="75"/>
      <c r="I128" s="1">
        <f>SUM(I75:I127)</f>
        <v>187399.26</v>
      </c>
      <c r="J128" s="1">
        <f>SUM(J75:J127)</f>
        <v>166974.29999999999</v>
      </c>
      <c r="K128" s="1">
        <f>SUM(K75:K127)</f>
        <v>20424.960000000003</v>
      </c>
      <c r="L128" s="2">
        <f>SUM(L75:L127)</f>
        <v>1126648.8500000001</v>
      </c>
    </row>
    <row r="129" spans="1:12" s="5" customFormat="1" x14ac:dyDescent="0.2">
      <c r="B129" s="13"/>
      <c r="C129" s="15"/>
      <c r="D129" s="15"/>
      <c r="E129" s="19"/>
      <c r="F129" s="75"/>
      <c r="G129" s="7"/>
      <c r="I129" s="1"/>
      <c r="J129" s="1"/>
      <c r="K129" s="1"/>
      <c r="L129" s="2"/>
    </row>
    <row r="130" spans="1:12" s="5" customFormat="1" x14ac:dyDescent="0.2">
      <c r="B130" s="13"/>
      <c r="C130" s="15"/>
      <c r="D130" s="69"/>
      <c r="E130" s="19"/>
      <c r="F130" s="75"/>
      <c r="G130" s="9"/>
      <c r="I130" s="1"/>
      <c r="J130" s="1"/>
      <c r="K130" s="1"/>
      <c r="L130" s="2"/>
    </row>
    <row r="131" spans="1:12" s="5" customFormat="1" x14ac:dyDescent="0.2">
      <c r="B131" s="13"/>
      <c r="C131" s="15"/>
      <c r="D131" s="69"/>
      <c r="E131" s="19"/>
      <c r="F131" s="75"/>
      <c r="G131" s="9"/>
      <c r="I131" s="1"/>
      <c r="J131" s="1"/>
      <c r="K131" s="1"/>
      <c r="L131" s="2"/>
    </row>
    <row r="132" spans="1:12" s="5" customFormat="1" x14ac:dyDescent="0.2">
      <c r="B132" s="13"/>
      <c r="C132" s="15"/>
      <c r="D132" s="69"/>
      <c r="E132" s="19"/>
      <c r="F132" s="75"/>
      <c r="G132" s="9"/>
      <c r="I132" s="1"/>
      <c r="J132" s="1"/>
      <c r="K132" s="1"/>
      <c r="L132" s="2"/>
    </row>
    <row r="133" spans="1:12" s="5" customFormat="1" ht="15.75" thickBot="1" x14ac:dyDescent="0.25">
      <c r="B133" s="13"/>
      <c r="C133" s="15"/>
      <c r="D133" s="69"/>
      <c r="E133" s="11" t="s">
        <v>0</v>
      </c>
      <c r="F133" s="71"/>
      <c r="G133" s="9"/>
      <c r="I133" s="1"/>
      <c r="J133" s="1"/>
      <c r="K133" s="1"/>
      <c r="L133" s="2"/>
    </row>
    <row r="134" spans="1:12" s="5" customFormat="1" x14ac:dyDescent="0.2">
      <c r="B134" s="13"/>
      <c r="C134" s="15"/>
      <c r="D134" s="69"/>
      <c r="E134" s="9" t="s">
        <v>56</v>
      </c>
      <c r="F134" s="6"/>
      <c r="G134" s="9"/>
      <c r="I134" s="1">
        <f>SUMIF($B$4:$B$70,"100410",$I$4:$I$70)</f>
        <v>0</v>
      </c>
      <c r="J134" s="1">
        <f>SUMIF($B$4:$B$70,"100410",$J$4:$J$70)</f>
        <v>0</v>
      </c>
      <c r="K134" s="1">
        <f>SUMIF($B$4:$B$70,"100410",$K$4:$K$70)</f>
        <v>0</v>
      </c>
      <c r="L134" s="2">
        <f>SUMIF($B$4:$B$70,"100410",$L$4:$L$70)</f>
        <v>0</v>
      </c>
    </row>
    <row r="135" spans="1:12" s="5" customFormat="1" x14ac:dyDescent="0.2">
      <c r="B135" s="13"/>
      <c r="C135" s="15"/>
      <c r="D135" s="69"/>
      <c r="E135" s="9" t="s">
        <v>57</v>
      </c>
      <c r="F135" s="6"/>
      <c r="G135" s="9"/>
      <c r="I135" s="1">
        <f t="array" ref="I135">SUMIF($B$4:$B$70,"100420",$I$4:$I$70)</f>
        <v>0</v>
      </c>
      <c r="J135" s="1">
        <f t="array" ref="J135">SUMIF($B$4:$B$70,"100420",$J$4:$J$70)</f>
        <v>0</v>
      </c>
      <c r="K135" s="1">
        <f>SUMIF($B$4:$B$70,"100420",$K$4:$K$70)</f>
        <v>0</v>
      </c>
      <c r="L135" s="2">
        <f t="array" ref="L135">SUMIF($B$4:$B$70,"100420",$L$4:$L$70)</f>
        <v>0</v>
      </c>
    </row>
    <row r="136" spans="1:12" s="5" customFormat="1" ht="14.25" customHeight="1" x14ac:dyDescent="0.2">
      <c r="B136" s="15"/>
      <c r="C136" s="15"/>
      <c r="D136" s="69"/>
      <c r="E136" s="9" t="s">
        <v>58</v>
      </c>
      <c r="F136" s="6"/>
      <c r="G136" s="9"/>
      <c r="I136" s="1">
        <f t="array" ref="I136">SUMIF($B$4:$B$70,"100430",$I$4:$I$70)</f>
        <v>1300.5</v>
      </c>
      <c r="J136" s="1">
        <f t="array" ref="J136">SUMIF($B$4:$B$70,"100430",$J$4:$J$70)</f>
        <v>79</v>
      </c>
      <c r="K136" s="1">
        <f t="array" ref="K136">SUMIF($B$4:$B$70,"100430",$K$4:$K$70)</f>
        <v>1221.5</v>
      </c>
      <c r="L136" s="2">
        <f t="array" ref="L136">SUMIF($B$4:$B$70,"100430",$L$4:$L$70)</f>
        <v>94170.01999999999</v>
      </c>
    </row>
    <row r="137" spans="1:12" x14ac:dyDescent="0.2">
      <c r="B137" s="15"/>
      <c r="C137" s="15"/>
      <c r="E137" s="9"/>
      <c r="F137" s="6"/>
      <c r="G137" s="9"/>
      <c r="H137" s="5"/>
      <c r="I137" s="1"/>
      <c r="J137" s="1"/>
      <c r="K137" s="1"/>
      <c r="L137" s="2"/>
    </row>
    <row r="138" spans="1:12" ht="15.75" thickBot="1" x14ac:dyDescent="0.25">
      <c r="C138" s="15"/>
      <c r="E138" s="10" t="s">
        <v>3</v>
      </c>
      <c r="F138" s="71"/>
      <c r="G138" s="9"/>
      <c r="H138" s="5"/>
      <c r="I138" s="1"/>
      <c r="J138" s="1"/>
      <c r="K138" s="1"/>
      <c r="L138" s="2"/>
    </row>
    <row r="139" spans="1:12" x14ac:dyDescent="0.2">
      <c r="A139" s="44" t="s">
        <v>129</v>
      </c>
      <c r="C139" s="15"/>
      <c r="E139" s="9" t="s">
        <v>59</v>
      </c>
      <c r="F139" s="6"/>
      <c r="G139" s="9"/>
      <c r="H139" s="5"/>
      <c r="I139" s="1">
        <f>SUMIF($B$4:$B$70,"100521",$I$4:$I$70)</f>
        <v>975.06</v>
      </c>
      <c r="J139" s="1">
        <f t="array" ref="J139">SUMIF($B$4:$B$70,"100521",$J$4:$J$70)</f>
        <v>19.119999999999997</v>
      </c>
      <c r="K139" s="1">
        <f t="array" ref="K139">SUMIF($B$4:$B$70,"100521",$K$4:$K$70)</f>
        <v>955.94</v>
      </c>
      <c r="L139" s="2">
        <f t="array" ref="L139">SUMIF($B$4:$B$70,"100521",$L$4:$L$70)</f>
        <v>81349.490000000005</v>
      </c>
    </row>
    <row r="140" spans="1:12" x14ac:dyDescent="0.2">
      <c r="B140" s="69" t="s">
        <v>130</v>
      </c>
      <c r="C140" s="15"/>
      <c r="E140" s="9" t="s">
        <v>60</v>
      </c>
      <c r="F140" s="6"/>
      <c r="G140" s="9"/>
      <c r="H140" s="5"/>
      <c r="I140" s="1">
        <f t="array" ref="I140">SUMIF($B$4:$B$70,"100522",$I$4:$I$70)</f>
        <v>41335.78</v>
      </c>
      <c r="J140" s="1">
        <f t="array" ref="J140">SUMIF($B$4:$B$70,"100522",$J$4:$J$70)</f>
        <v>36079.799999999996</v>
      </c>
      <c r="K140" s="1">
        <f t="array" ref="K140">SUMIF($B$4:$B$70,"100522",$K$4:$K$70)</f>
        <v>5255.9799999999987</v>
      </c>
      <c r="L140" s="2">
        <f t="array" ref="L140">SUMIF($B$4:$B$70,"100522",$L$4:$L$70)</f>
        <v>60348.1</v>
      </c>
    </row>
    <row r="141" spans="1:12" x14ac:dyDescent="0.2">
      <c r="E141" s="9" t="s">
        <v>61</v>
      </c>
      <c r="F141" s="6"/>
      <c r="G141" s="9"/>
      <c r="H141" s="5"/>
      <c r="I141" s="1">
        <f t="array" ref="I141">SUMIF($B$4:$B$70,"100531",$I$4:$I$70)</f>
        <v>183.04</v>
      </c>
      <c r="J141" s="1">
        <f t="array" ref="J141">SUMIF($B$4:$B$70,"100531",$J$4:$J$70)</f>
        <v>123.67999999999999</v>
      </c>
      <c r="K141" s="1">
        <f t="array" ref="K141">SUMIF($B$4:$B$70,"100531",$K$4:$K$70)</f>
        <v>59.36</v>
      </c>
      <c r="L141" s="2">
        <f t="array" ref="L141">SUMIF($B$4:$B$70,"100531",$L$4:$L$70)</f>
        <v>3302.82</v>
      </c>
    </row>
    <row r="142" spans="1:12" x14ac:dyDescent="0.2">
      <c r="E142" s="9" t="s">
        <v>62</v>
      </c>
      <c r="F142" s="6"/>
      <c r="G142" s="9"/>
      <c r="H142" s="5"/>
      <c r="I142" s="1">
        <f>SUMIF($B$4:$B$70,"100532",$I$4:$I$70)</f>
        <v>666.16</v>
      </c>
      <c r="J142" s="1">
        <f t="array" ref="J142">SUMIF($B$4:$B$70,"100532",$J$4:$J$70)</f>
        <v>169.95</v>
      </c>
      <c r="K142" s="1">
        <f t="array" ref="K142">SUMIF($B$4:$B$70,"100532",$K$4:$K$70)</f>
        <v>496.21000000000004</v>
      </c>
      <c r="L142" s="2">
        <f t="array" ref="L142">SUMIF($B$4:$B$70,"100532",$L$4:$L$70)</f>
        <v>35339.980000000003</v>
      </c>
    </row>
    <row r="143" spans="1:12" x14ac:dyDescent="0.2">
      <c r="E143" s="9" t="s">
        <v>63</v>
      </c>
      <c r="F143" s="6"/>
      <c r="G143" s="9"/>
      <c r="H143" s="5"/>
      <c r="I143" s="1">
        <f t="array" ref="I143">SUMIF($B$4:$B$70,"100533",$I$4:$I$70)</f>
        <v>2198.4899999999998</v>
      </c>
      <c r="J143" s="1">
        <f t="array" ref="J143">SUMIF($B$4:$B$70,"100533",$J$4:$J$70)</f>
        <v>186.33</v>
      </c>
      <c r="K143" s="1">
        <f>SUMIF($B$4:$B$70,"100533",$K$4:$K$70)</f>
        <v>2012.1599999999999</v>
      </c>
      <c r="L143" s="2">
        <f t="array" ref="L143">SUMIF($B$4:$B$70,"100533",$L$4:$L$70)</f>
        <v>16175.82</v>
      </c>
    </row>
    <row r="144" spans="1:12" x14ac:dyDescent="0.2">
      <c r="A144" s="72"/>
      <c r="E144" s="9" t="s">
        <v>64</v>
      </c>
      <c r="F144" s="6"/>
      <c r="G144" s="9"/>
      <c r="I144" s="1">
        <f>SUMIF($B$4:$B$70,"100534",$I$4:$I$70)</f>
        <v>0</v>
      </c>
      <c r="J144" s="1">
        <f>SUMIF($B$4:$B$70,"100534",$J$4:$J$70)</f>
        <v>0</v>
      </c>
      <c r="K144" s="1">
        <f>SUMIF($B$4:$B$70,"100534",$K$4:$K$70)</f>
        <v>0</v>
      </c>
      <c r="L144" s="2">
        <f t="array" ref="L144">SUMIF($B$4:$B$70,"100534",$L$4:$L$70)</f>
        <v>0</v>
      </c>
    </row>
    <row r="145" spans="3:12" x14ac:dyDescent="0.2">
      <c r="E145" s="9" t="s">
        <v>65</v>
      </c>
      <c r="F145" s="6"/>
      <c r="G145" s="5"/>
      <c r="H145" s="7"/>
      <c r="I145" s="1">
        <f t="array" ref="I145">SUMIF($B$4:$B$70,"100535",$I$4:$I$70)</f>
        <v>0</v>
      </c>
      <c r="J145" s="1">
        <f t="array" ref="J145">SUMIF($B$4:$B$70,"100535",$J$4:$J$70)</f>
        <v>0</v>
      </c>
      <c r="K145" s="1">
        <f>SUMIF($B$4:$B$70,"100535",$K$4:$K$70)</f>
        <v>0</v>
      </c>
      <c r="L145" s="2">
        <f t="array" ref="L145">SUMIF($B$4:$B$70,"100535",$L$4:$L$70)</f>
        <v>0</v>
      </c>
    </row>
    <row r="146" spans="3:12" x14ac:dyDescent="0.2">
      <c r="E146" s="9" t="s">
        <v>66</v>
      </c>
      <c r="F146" s="6"/>
      <c r="G146" s="18"/>
      <c r="H146" s="7"/>
      <c r="I146" s="1">
        <f t="array" ref="I146">SUMIF($B$4:$B$70,"100551",$I$4:$I$70)</f>
        <v>0</v>
      </c>
      <c r="J146" s="1">
        <f t="array" ref="J146">SUMIF($B$4:$B$70,"100551",$J$4:$J$70)</f>
        <v>0</v>
      </c>
      <c r="K146" s="1">
        <f t="array" ref="K146">SUMIF($B$4:$B$70,"100551",$K$4:$K$70)</f>
        <v>0</v>
      </c>
      <c r="L146" s="2">
        <f t="array" ref="L146">SUMIF($B$4:$B$70,"100551",$L$4:$L$70)</f>
        <v>0</v>
      </c>
    </row>
    <row r="147" spans="3:12" x14ac:dyDescent="0.2">
      <c r="E147" s="9" t="s">
        <v>67</v>
      </c>
      <c r="F147" s="6"/>
      <c r="G147" s="8"/>
      <c r="H147" s="7"/>
      <c r="I147" s="1">
        <f t="array" ref="I147">SUMIF($B$4:$B$70,"100552",$I$4:$I$70)</f>
        <v>3021.09</v>
      </c>
      <c r="J147" s="1">
        <f t="array" ref="J147">SUMIF($B$4:$B$70,"100552",$J$4:$J$70)</f>
        <v>291.19</v>
      </c>
      <c r="K147" s="1">
        <f t="array" ref="K147">SUMIF($B$4:$B$70,"100552",$K$4:$K$70)</f>
        <v>2729.9</v>
      </c>
      <c r="L147" s="2">
        <f>SUMIF($B$4:$B$70,"100552",$L$4:$L$70)</f>
        <v>0</v>
      </c>
    </row>
    <row r="148" spans="3:12" ht="15.75" thickBot="1" x14ac:dyDescent="0.25">
      <c r="E148" s="9" t="s">
        <v>68</v>
      </c>
      <c r="F148" s="6"/>
      <c r="G148" s="8"/>
      <c r="I148" s="3">
        <f>SUMIF($B$4:$B$70,"100554",$I$4:$I$70)</f>
        <v>137719.14000000001</v>
      </c>
      <c r="J148" s="3">
        <f>SUMIF($B$4:$B$70,"100554",$J$4:$J$70)</f>
        <v>130025.22999999998</v>
      </c>
      <c r="K148" s="3">
        <f>SUMIF($B$4:$B$70,"100554",$K$4:$K$70)</f>
        <v>7693.9100000000062</v>
      </c>
      <c r="L148" s="4">
        <f>SUMIF($B$4:$B$70,"100554",$L$4:$L$70)</f>
        <v>835962.62000000011</v>
      </c>
    </row>
    <row r="149" spans="3:12" x14ac:dyDescent="0.2">
      <c r="E149" s="5"/>
      <c r="F149" s="6"/>
      <c r="G149" s="8"/>
      <c r="I149" s="1"/>
      <c r="J149" s="1"/>
      <c r="K149" s="1"/>
      <c r="L149" s="2"/>
    </row>
    <row r="150" spans="3:12" x14ac:dyDescent="0.2">
      <c r="E150" s="18" t="s">
        <v>78</v>
      </c>
      <c r="G150" s="8"/>
      <c r="I150" s="1">
        <f>SUM(I134:I148)</f>
        <v>187399.26</v>
      </c>
      <c r="J150" s="1">
        <f>SUM(J134:J148)</f>
        <v>166974.29999999999</v>
      </c>
      <c r="K150" s="1">
        <f>SUM(K134:K148)</f>
        <v>20424.960000000003</v>
      </c>
      <c r="L150" s="2">
        <f>SUM(L134:L148)</f>
        <v>1126648.8500000001</v>
      </c>
    </row>
    <row r="151" spans="3:12" x14ac:dyDescent="0.2">
      <c r="E151" s="8"/>
    </row>
    <row r="152" spans="3:12" x14ac:dyDescent="0.2">
      <c r="E152" s="8" t="s">
        <v>51</v>
      </c>
      <c r="I152" s="20">
        <f>I72</f>
        <v>187399.26000000004</v>
      </c>
      <c r="J152" s="20">
        <f>J72</f>
        <v>166974.30000000002</v>
      </c>
      <c r="K152" s="20">
        <f>K72</f>
        <v>20424.960000000006</v>
      </c>
      <c r="L152" s="21">
        <f>L72</f>
        <v>1126648.8500000001</v>
      </c>
    </row>
    <row r="153" spans="3:12" x14ac:dyDescent="0.2">
      <c r="E153" s="8"/>
      <c r="L153" s="21"/>
    </row>
    <row r="154" spans="3:12" x14ac:dyDescent="0.2">
      <c r="E154" s="8" t="s">
        <v>52</v>
      </c>
      <c r="I154" s="20">
        <f>I128</f>
        <v>187399.26</v>
      </c>
      <c r="J154" s="20">
        <f>J128</f>
        <v>166974.29999999999</v>
      </c>
      <c r="K154" s="20">
        <f>K128</f>
        <v>20424.960000000003</v>
      </c>
      <c r="L154" s="21">
        <f>L128</f>
        <v>1126648.8500000001</v>
      </c>
    </row>
    <row r="156" spans="3:12" x14ac:dyDescent="0.2">
      <c r="C156" s="74" t="s">
        <v>131</v>
      </c>
    </row>
    <row r="157" spans="3:12" x14ac:dyDescent="0.2">
      <c r="C157" s="74" t="s">
        <v>132</v>
      </c>
      <c r="E157" s="73"/>
    </row>
    <row r="158" spans="3:12" x14ac:dyDescent="0.2">
      <c r="C158" s="74" t="s">
        <v>133</v>
      </c>
    </row>
    <row r="167" spans="1:1" x14ac:dyDescent="0.2">
      <c r="A167" s="72"/>
    </row>
    <row r="168" spans="1:1" x14ac:dyDescent="0.2">
      <c r="A168" s="7" t="s">
        <v>103</v>
      </c>
    </row>
  </sheetData>
  <autoFilter ref="A2:M54" xr:uid="{00000000-0001-0000-0000-000000000000}"/>
  <sortState xmlns:xlrd2="http://schemas.microsoft.com/office/spreadsheetml/2017/richdata2" ref="G127:L161">
    <sortCondition ref="G127:G161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3" max="16383" man="1"/>
    <brk id="74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Lavoie, Tiana - FS, AK</cp:lastModifiedBy>
  <cp:lastPrinted>2020-12-09T20:40:12Z</cp:lastPrinted>
  <dcterms:created xsi:type="dcterms:W3CDTF">2000-01-21T21:34:04Z</dcterms:created>
  <dcterms:modified xsi:type="dcterms:W3CDTF">2025-03-17T18:24:55Z</dcterms:modified>
</cp:coreProperties>
</file>