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voie\Box\2400TimberMgmt~2450TimberSaleContracts\SO\TSA.FinancialMngmt.FPFS\FPFS Reports\TS.Remaining.Vol.Value.GMiller Rpt\FY2025\"/>
    </mc:Choice>
  </mc:AlternateContent>
  <xr:revisionPtr revIDLastSave="0" documentId="13_ncr:1_{92CF990B-5192-4510-90A9-E36C273C6393}" xr6:coauthVersionLast="47" xr6:coauthVersionMax="47" xr10:uidLastSave="{00000000-0000-0000-0000-000000000000}"/>
  <bookViews>
    <workbookView xWindow="-120" yWindow="-120" windowWidth="29040" windowHeight="15720" tabRatio="318" xr2:uid="{00000000-000D-0000-FFFF-FFFF00000000}"/>
  </bookViews>
  <sheets>
    <sheet name="Volume Under Contract" sheetId="1" r:id="rId1"/>
  </sheets>
  <definedNames>
    <definedName name="_xlnm._FilterDatabase" localSheetId="0" hidden="1">'Volume Under Contract'!$A$2:$M$60</definedName>
    <definedName name="_xlnm.Print_Titles" localSheetId="0">'Volume Under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4" i="1" l="1"/>
  <c r="K124" i="1"/>
  <c r="J124" i="1"/>
  <c r="I124" i="1"/>
  <c r="K42" i="1"/>
  <c r="K50" i="1"/>
  <c r="L94" i="1"/>
  <c r="J94" i="1"/>
  <c r="I94" i="1"/>
  <c r="L123" i="1"/>
  <c r="J123" i="1"/>
  <c r="I123" i="1"/>
  <c r="K41" i="1"/>
  <c r="K40" i="1"/>
  <c r="K13" i="1"/>
  <c r="K94" i="1" s="1"/>
  <c r="K11" i="1"/>
  <c r="L136" i="1"/>
  <c r="J136" i="1"/>
  <c r="I136" i="1"/>
  <c r="K73" i="1"/>
  <c r="K136" i="1" s="1"/>
  <c r="L63" i="1"/>
  <c r="J63" i="1"/>
  <c r="K60" i="1"/>
  <c r="I63" i="1"/>
  <c r="L111" i="1"/>
  <c r="J111" i="1"/>
  <c r="I111" i="1"/>
  <c r="K27" i="1"/>
  <c r="K111" i="1" s="1"/>
  <c r="K26" i="1"/>
  <c r="K34" i="1"/>
  <c r="L128" i="1"/>
  <c r="J128" i="1"/>
  <c r="I128" i="1"/>
  <c r="K44" i="1"/>
  <c r="K128" i="1" s="1"/>
  <c r="L132" i="1"/>
  <c r="J132" i="1"/>
  <c r="I132" i="1"/>
  <c r="K45" i="1"/>
  <c r="K132" i="1" s="1"/>
  <c r="L98" i="1"/>
  <c r="J98" i="1"/>
  <c r="I98" i="1"/>
  <c r="I161" i="1"/>
  <c r="I152" i="1"/>
  <c r="K6" i="1"/>
  <c r="K5" i="1"/>
  <c r="K4" i="1"/>
  <c r="L76" i="1"/>
  <c r="J76" i="1"/>
  <c r="I76" i="1"/>
  <c r="L96" i="1"/>
  <c r="J96" i="1"/>
  <c r="I96" i="1"/>
  <c r="K95" i="1"/>
  <c r="K72" i="1"/>
  <c r="K71" i="1"/>
  <c r="K96" i="1" s="1"/>
  <c r="K70" i="1"/>
  <c r="K93" i="1" s="1"/>
  <c r="K69" i="1"/>
  <c r="K48" i="1"/>
  <c r="A7" i="1"/>
  <c r="L122" i="1"/>
  <c r="J122" i="1"/>
  <c r="I122" i="1"/>
  <c r="K121" i="1"/>
  <c r="K39" i="1"/>
  <c r="K122" i="1" s="1"/>
  <c r="K36" i="1"/>
  <c r="K9" i="1"/>
  <c r="K52" i="1"/>
  <c r="K98" i="1"/>
  <c r="K24" i="1"/>
  <c r="K49" i="1"/>
  <c r="K17" i="1"/>
  <c r="K37" i="1"/>
  <c r="K25" i="1"/>
  <c r="K54" i="1"/>
  <c r="K8" i="1"/>
  <c r="K35" i="1"/>
  <c r="L116" i="1"/>
  <c r="J116" i="1"/>
  <c r="I116" i="1"/>
  <c r="K31" i="1"/>
  <c r="K28" i="1"/>
  <c r="K32" i="1"/>
  <c r="K116" i="1" s="1"/>
  <c r="K33" i="1"/>
  <c r="L93" i="1"/>
  <c r="J93" i="1"/>
  <c r="I93" i="1"/>
  <c r="I155" i="1"/>
  <c r="K22" i="1"/>
  <c r="K59" i="1"/>
  <c r="K38" i="1"/>
  <c r="K68" i="1"/>
  <c r="K67" i="1"/>
  <c r="A48" i="1"/>
  <c r="K123" i="1" l="1"/>
  <c r="L78" i="1"/>
  <c r="I78" i="1"/>
  <c r="J78" i="1"/>
  <c r="L135" i="1"/>
  <c r="J135" i="1"/>
  <c r="I135" i="1"/>
  <c r="J133" i="1"/>
  <c r="K135" i="1"/>
  <c r="L100" i="1"/>
  <c r="L99" i="1"/>
  <c r="J99" i="1"/>
  <c r="I99" i="1"/>
  <c r="K14" i="1"/>
  <c r="K99" i="1" s="1"/>
  <c r="K23" i="1"/>
  <c r="K30" i="1"/>
  <c r="L89" i="1"/>
  <c r="J89" i="1"/>
  <c r="I89" i="1"/>
  <c r="K89" i="1"/>
  <c r="L107" i="1"/>
  <c r="J107" i="1"/>
  <c r="I107" i="1"/>
  <c r="K107" i="1"/>
  <c r="K10" i="1"/>
  <c r="K91" i="1" s="1"/>
  <c r="L91" i="1"/>
  <c r="K92" i="1"/>
  <c r="J91" i="1"/>
  <c r="I91" i="1"/>
  <c r="K88" i="1"/>
  <c r="L88" i="1"/>
  <c r="J88" i="1"/>
  <c r="I88" i="1"/>
  <c r="L125" i="1"/>
  <c r="J125" i="1"/>
  <c r="I125" i="1"/>
  <c r="K125" i="1"/>
  <c r="K58" i="1"/>
  <c r="L90" i="1"/>
  <c r="J90" i="1"/>
  <c r="I90" i="1"/>
  <c r="L118" i="1"/>
  <c r="J118" i="1"/>
  <c r="I118" i="1"/>
  <c r="L110" i="1"/>
  <c r="J110" i="1"/>
  <c r="I110" i="1"/>
  <c r="K110" i="1"/>
  <c r="K47" i="1"/>
  <c r="K118" i="1" l="1"/>
  <c r="K90" i="1"/>
  <c r="K114" i="1"/>
  <c r="K113" i="1"/>
  <c r="L130" i="1"/>
  <c r="K130" i="1"/>
  <c r="J130" i="1"/>
  <c r="I130" i="1"/>
  <c r="L113" i="1"/>
  <c r="J113" i="1"/>
  <c r="I113" i="1"/>
  <c r="L114" i="1"/>
  <c r="J114" i="1"/>
  <c r="I114" i="1"/>
  <c r="L97" i="1"/>
  <c r="J97" i="1"/>
  <c r="I97" i="1"/>
  <c r="J95" i="1"/>
  <c r="K97" i="1" l="1"/>
  <c r="L117" i="1"/>
  <c r="J117" i="1"/>
  <c r="I117" i="1"/>
  <c r="K117" i="1"/>
  <c r="K53" i="1"/>
  <c r="I119" i="1" l="1"/>
  <c r="I120" i="1"/>
  <c r="I121" i="1"/>
  <c r="K21" i="1" l="1"/>
  <c r="K16" i="1" l="1"/>
  <c r="K100" i="1" s="1"/>
  <c r="K57" i="1" l="1"/>
  <c r="A57" i="1"/>
  <c r="L92" i="1" l="1"/>
  <c r="L87" i="1"/>
  <c r="J92" i="1"/>
  <c r="J87" i="1"/>
  <c r="I92" i="1"/>
  <c r="I87" i="1"/>
  <c r="L119" i="1" l="1"/>
  <c r="J119" i="1"/>
  <c r="K46" i="1" l="1"/>
  <c r="A46" i="1"/>
  <c r="K19" i="1"/>
  <c r="K18" i="1"/>
  <c r="L109" i="1" l="1"/>
  <c r="J109" i="1"/>
  <c r="I109" i="1"/>
  <c r="K109" i="1"/>
  <c r="K56" i="1"/>
  <c r="A56" i="1"/>
  <c r="K55" i="1"/>
  <c r="A55" i="1"/>
  <c r="K76" i="1" l="1"/>
  <c r="C76" i="1"/>
  <c r="H76" i="1"/>
  <c r="K87" i="1"/>
  <c r="I85" i="1"/>
  <c r="L139" i="1" l="1"/>
  <c r="L138" i="1"/>
  <c r="K139" i="1"/>
  <c r="J139" i="1"/>
  <c r="J138" i="1"/>
  <c r="I139" i="1"/>
  <c r="I138" i="1"/>
  <c r="K86" i="1" l="1"/>
  <c r="L86" i="1"/>
  <c r="J86" i="1"/>
  <c r="I86" i="1"/>
  <c r="L84" i="1"/>
  <c r="J84" i="1"/>
  <c r="I84" i="1"/>
  <c r="L103" i="1" l="1"/>
  <c r="K103" i="1"/>
  <c r="J103" i="1"/>
  <c r="I103" i="1"/>
  <c r="J104" i="1" l="1"/>
  <c r="L161" i="1" l="1"/>
  <c r="L104" i="1"/>
  <c r="K83" i="1"/>
  <c r="I127" i="1"/>
  <c r="L85" i="1"/>
  <c r="L83" i="1"/>
  <c r="L82" i="1"/>
  <c r="J82" i="1"/>
  <c r="I137" i="1"/>
  <c r="I131" i="1"/>
  <c r="I133" i="1"/>
  <c r="I101" i="1"/>
  <c r="I129" i="1"/>
  <c r="I126" i="1"/>
  <c r="I115" i="1"/>
  <c r="I112" i="1"/>
  <c r="I108" i="1"/>
  <c r="I106" i="1"/>
  <c r="I105" i="1"/>
  <c r="I104" i="1"/>
  <c r="I102" i="1"/>
  <c r="I100" i="1"/>
  <c r="I95" i="1"/>
  <c r="K85" i="1"/>
  <c r="J85" i="1"/>
  <c r="J83" i="1"/>
  <c r="K82" i="1"/>
  <c r="J161" i="1"/>
  <c r="I83" i="1"/>
  <c r="I82" i="1"/>
  <c r="K104" i="1" l="1"/>
  <c r="K138" i="1" l="1"/>
  <c r="K161" i="1" l="1"/>
  <c r="K119" i="1"/>
  <c r="K29" i="1"/>
  <c r="K7" i="1" l="1"/>
  <c r="K63" i="1" s="1"/>
  <c r="L131" i="1"/>
  <c r="L129" i="1"/>
  <c r="K131" i="1"/>
  <c r="K129" i="1"/>
  <c r="J131" i="1"/>
  <c r="J129" i="1"/>
  <c r="L106" i="1"/>
  <c r="K106" i="1"/>
  <c r="J106" i="1"/>
  <c r="K78" i="1" l="1"/>
  <c r="H63" i="1"/>
  <c r="H78" i="1" s="1"/>
  <c r="C63" i="1"/>
  <c r="C78" i="1" s="1"/>
  <c r="K84" i="1"/>
  <c r="L81" i="1"/>
  <c r="K81" i="1"/>
  <c r="J81" i="1"/>
  <c r="I81" i="1"/>
  <c r="I141" i="1" s="1"/>
  <c r="L127" i="1"/>
  <c r="L126" i="1"/>
  <c r="K127" i="1"/>
  <c r="K126" i="1"/>
  <c r="J127" i="1"/>
  <c r="J126" i="1"/>
  <c r="L95" i="1"/>
  <c r="A15" i="1" l="1"/>
  <c r="A16" i="1"/>
  <c r="A29" i="1" l="1"/>
  <c r="A49" i="1"/>
  <c r="A51" i="1"/>
  <c r="L112" i="1" l="1"/>
  <c r="K112" i="1"/>
  <c r="J112" i="1"/>
  <c r="L108" i="1"/>
  <c r="K108" i="1"/>
  <c r="J108" i="1"/>
  <c r="L133" i="1" l="1"/>
  <c r="K133" i="1"/>
  <c r="L121" i="1" l="1"/>
  <c r="J121" i="1"/>
  <c r="L115" i="1" l="1"/>
  <c r="K115" i="1"/>
  <c r="J115" i="1"/>
  <c r="J100" i="1" l="1"/>
  <c r="J101" i="1"/>
  <c r="K101" i="1"/>
  <c r="L101" i="1"/>
  <c r="J102" i="1" a="1"/>
  <c r="J102" i="1" s="1"/>
  <c r="K102" i="1" a="1"/>
  <c r="K102" i="1" s="1"/>
  <c r="L102" i="1" a="1"/>
  <c r="L102" i="1" s="1"/>
  <c r="J105" i="1"/>
  <c r="K105" i="1"/>
  <c r="L105" i="1"/>
  <c r="J120" i="1" a="1"/>
  <c r="J120" i="1" s="1"/>
  <c r="K120" i="1" a="1"/>
  <c r="K120" i="1" s="1"/>
  <c r="L120" i="1" a="1"/>
  <c r="L120" i="1" s="1"/>
  <c r="J137" i="1" a="1"/>
  <c r="J137" i="1" s="1"/>
  <c r="K137" i="1" a="1"/>
  <c r="K137" i="1" s="1"/>
  <c r="L137" i="1" a="1"/>
  <c r="L137" i="1" s="1"/>
  <c r="J141" i="1" l="1"/>
  <c r="L141" i="1"/>
  <c r="K141" i="1"/>
  <c r="K158" i="1" l="1"/>
  <c r="K157" i="1"/>
  <c r="K156" i="1"/>
  <c r="K148" i="1"/>
  <c r="K147" i="1"/>
  <c r="L160" i="1"/>
  <c r="K160" i="1" a="1"/>
  <c r="K160" i="1" s="1"/>
  <c r="J160" i="1" a="1"/>
  <c r="J160" i="1" s="1"/>
  <c r="I160" i="1" a="1"/>
  <c r="I160" i="1" s="1"/>
  <c r="L159" i="1" a="1"/>
  <c r="L159" i="1" s="1"/>
  <c r="K159" i="1" a="1"/>
  <c r="K159" i="1" s="1"/>
  <c r="J159" i="1" a="1"/>
  <c r="J159" i="1" s="1"/>
  <c r="I159" i="1" a="1"/>
  <c r="I159" i="1" s="1"/>
  <c r="L158" i="1" a="1"/>
  <c r="L158" i="1" s="1"/>
  <c r="J158" i="1" a="1"/>
  <c r="J158" i="1" s="1"/>
  <c r="I158" i="1" a="1"/>
  <c r="I158" i="1" s="1"/>
  <c r="L157" i="1" a="1"/>
  <c r="L157" i="1" s="1"/>
  <c r="J157" i="1"/>
  <c r="I157" i="1"/>
  <c r="L156" i="1" a="1"/>
  <c r="L156" i="1" s="1"/>
  <c r="J156" i="1" a="1"/>
  <c r="J156" i="1" s="1"/>
  <c r="I156" i="1" a="1"/>
  <c r="I156" i="1" s="1"/>
  <c r="L155" i="1" a="1"/>
  <c r="L155" i="1" s="1"/>
  <c r="K155" i="1" a="1"/>
  <c r="K155" i="1" s="1"/>
  <c r="J155" i="1" a="1"/>
  <c r="J155" i="1" s="1"/>
  <c r="L154" i="1" a="1"/>
  <c r="L154" i="1" s="1"/>
  <c r="K154" i="1" a="1"/>
  <c r="K154" i="1" s="1"/>
  <c r="J154" i="1" a="1"/>
  <c r="J154" i="1" s="1"/>
  <c r="I154" i="1" a="1"/>
  <c r="I154" i="1" s="1"/>
  <c r="L153" i="1" a="1"/>
  <c r="L153" i="1" s="1"/>
  <c r="K153" i="1" a="1"/>
  <c r="K153" i="1" s="1"/>
  <c r="J153" i="1" a="1"/>
  <c r="J153" i="1" s="1"/>
  <c r="I153" i="1" a="1"/>
  <c r="I153" i="1" s="1"/>
  <c r="L152" i="1" a="1"/>
  <c r="L152" i="1" s="1"/>
  <c r="K152" i="1" a="1"/>
  <c r="K152" i="1" s="1"/>
  <c r="J152" i="1" a="1"/>
  <c r="J152" i="1" s="1"/>
  <c r="L149" i="1" a="1"/>
  <c r="L149" i="1" s="1"/>
  <c r="K149" i="1" a="1"/>
  <c r="J149" i="1" a="1"/>
  <c r="J149" i="1" s="1"/>
  <c r="I149" i="1" a="1"/>
  <c r="I149" i="1" s="1"/>
  <c r="L148" i="1" a="1"/>
  <c r="L148" i="1" s="1"/>
  <c r="J148" i="1" a="1"/>
  <c r="J148" i="1" s="1"/>
  <c r="I148" i="1" a="1"/>
  <c r="I148" i="1" s="1"/>
  <c r="L147" i="1"/>
  <c r="J147" i="1"/>
  <c r="I147" i="1"/>
  <c r="L165" i="1"/>
  <c r="I165" i="1"/>
  <c r="I163" i="1" l="1"/>
  <c r="J167" i="1"/>
  <c r="L167" i="1"/>
  <c r="I167" i="1"/>
  <c r="K165" i="1"/>
  <c r="K149" i="1"/>
  <c r="K163" i="1" s="1"/>
  <c r="J165" i="1"/>
  <c r="L163" i="1"/>
  <c r="J163" i="1"/>
  <c r="K167" i="1" l="1"/>
</calcChain>
</file>

<file path=xl/sharedStrings.xml><?xml version="1.0" encoding="utf-8"?>
<sst xmlns="http://schemas.openxmlformats.org/spreadsheetml/2006/main" count="410" uniqueCount="251">
  <si>
    <t>Chugach National Forest</t>
  </si>
  <si>
    <t>Bid Date</t>
  </si>
  <si>
    <t>Porter Lumber</t>
  </si>
  <si>
    <t>Tongass National Forest</t>
  </si>
  <si>
    <t>Alcan Forest Products LLP</t>
  </si>
  <si>
    <t>Icy Straits Lumber &amp; Mill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</si>
  <si>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</si>
  <si>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</si>
  <si>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</si>
  <si>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</si>
  <si>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</si>
  <si>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</si>
  <si>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</si>
  <si>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</si>
  <si>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</si>
  <si>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</si>
  <si>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Viking Lumber Company</t>
  </si>
  <si>
    <t>Volume Cut (MBF)</t>
  </si>
  <si>
    <t>Current Qty Est (MBF)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</si>
  <si>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</si>
  <si>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</si>
  <si>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</si>
  <si>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</si>
  <si>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</si>
  <si>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</si>
  <si>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</si>
  <si>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Sale Name (Not in Default)</t>
  </si>
  <si>
    <t>Purchaser</t>
  </si>
  <si>
    <t>Remaining Value ($)</t>
  </si>
  <si>
    <t>Hecla Greens Creek Mining</t>
  </si>
  <si>
    <t>Henry Drechnowicz</t>
  </si>
  <si>
    <t>Slake</t>
  </si>
  <si>
    <t>Frenchie Stewardship</t>
  </si>
  <si>
    <t>Jerod Cook</t>
  </si>
  <si>
    <t>062649</t>
  </si>
  <si>
    <t>062433</t>
  </si>
  <si>
    <t>Ralph Dean Blankenship</t>
  </si>
  <si>
    <t>TM Construction, Inc
TM Construction, Inc</t>
  </si>
  <si>
    <t>063472</t>
  </si>
  <si>
    <t>Big Thorne Stewardship</t>
  </si>
  <si>
    <t>Greens Creek Tailing</t>
  </si>
  <si>
    <t>063662</t>
  </si>
  <si>
    <t>Micheal B Allen Jr</t>
  </si>
  <si>
    <t>Alaska Musicwood Industries</t>
  </si>
  <si>
    <t>6T</t>
  </si>
  <si>
    <t>K &amp; D Lumber</t>
  </si>
  <si>
    <t>Alcan Timber Inc</t>
  </si>
  <si>
    <t>Sand Pit #2 Settlement</t>
  </si>
  <si>
    <t>T.L.C. Management, LLC</t>
  </si>
  <si>
    <t>064561</t>
  </si>
  <si>
    <t>3T</t>
  </si>
  <si>
    <t>Alaska Region Check</t>
  </si>
  <si>
    <t>Purchaser Check</t>
  </si>
  <si>
    <t>Western Gold Cedar Products</t>
  </si>
  <si>
    <t>Purchaser Summary</t>
  </si>
  <si>
    <t>Alaska Tonewood LLC</t>
  </si>
  <si>
    <t>Glacier - 10</t>
  </si>
  <si>
    <t>Cordova - 20</t>
  </si>
  <si>
    <t>Seward - 30</t>
  </si>
  <si>
    <t>Petersburg - 21</t>
  </si>
  <si>
    <t>Wrangell - 22</t>
  </si>
  <si>
    <t>Sitka - 31</t>
  </si>
  <si>
    <t>Hoonah - 32</t>
  </si>
  <si>
    <t>Juneau - 33</t>
  </si>
  <si>
    <t>Admirality - 34</t>
  </si>
  <si>
    <t>Yakutat - 35</t>
  </si>
  <si>
    <t>Craig - 51</t>
  </si>
  <si>
    <t>Ketchikan - 52</t>
  </si>
  <si>
    <t>Thorne Bay - 54</t>
  </si>
  <si>
    <t>Tongass National Forest Sales</t>
  </si>
  <si>
    <t>Chugach National Forest Sales</t>
  </si>
  <si>
    <t>Alaska Region Summary</t>
  </si>
  <si>
    <t>Luther J. Coby</t>
  </si>
  <si>
    <t>Three Sisters</t>
  </si>
  <si>
    <t>064900</t>
  </si>
  <si>
    <t>Contract ID</t>
  </si>
  <si>
    <t>Contract Form</t>
  </si>
  <si>
    <t>Ranger Districts</t>
  </si>
  <si>
    <t>Ranger District Check</t>
  </si>
  <si>
    <t>Ranger District</t>
  </si>
  <si>
    <t>RayRay</t>
  </si>
  <si>
    <t>Tongass NF Sales Count:</t>
  </si>
  <si>
    <t>Tongass NF Sales Count With Remaining Volume:</t>
  </si>
  <si>
    <t>Chugach NF Sales Count:</t>
  </si>
  <si>
    <t>Chugach NF Sales Count With Remaining  Volume:</t>
  </si>
  <si>
    <t>Region 10 Sales Count With Remaining  Volume:</t>
  </si>
  <si>
    <t>Region 10 Sales Count:</t>
  </si>
  <si>
    <t>Andrews and Sons LLC</t>
  </si>
  <si>
    <t>Spencer F Pitcher</t>
  </si>
  <si>
    <t>State of Alaska</t>
  </si>
  <si>
    <t>063639</t>
  </si>
  <si>
    <t>Sterling Chew</t>
  </si>
  <si>
    <t>065097</t>
  </si>
  <si>
    <t>Rough Luck</t>
  </si>
  <si>
    <t>065139</t>
  </si>
  <si>
    <t>Angel Wings</t>
  </si>
  <si>
    <t>GSTT</t>
  </si>
  <si>
    <t>The Nature Conservancy</t>
  </si>
  <si>
    <t>065188</t>
  </si>
  <si>
    <t>Ernie Eads</t>
  </si>
  <si>
    <t>Alaska Milling &amp; Fabrication LLC</t>
  </si>
  <si>
    <t>JK Forest Products LLC</t>
  </si>
  <si>
    <t>Jerry Baker</t>
  </si>
  <si>
    <t xml:space="preserve"> </t>
  </si>
  <si>
    <t>065253</t>
  </si>
  <si>
    <t>James Stevens</t>
  </si>
  <si>
    <t>Snakey 70A</t>
  </si>
  <si>
    <t>065311</t>
  </si>
  <si>
    <t>Andrew Cowan</t>
  </si>
  <si>
    <t>William Kaufman</t>
  </si>
  <si>
    <t>065238</t>
  </si>
  <si>
    <t>South Snakey</t>
  </si>
  <si>
    <t>065436</t>
  </si>
  <si>
    <t>In Between Resale 2</t>
  </si>
  <si>
    <t>Kari Baekkelund</t>
  </si>
  <si>
    <t>065469</t>
  </si>
  <si>
    <t>Game Board</t>
  </si>
  <si>
    <t>065477</t>
  </si>
  <si>
    <t>065451</t>
  </si>
  <si>
    <t>Murray Creek YG</t>
  </si>
  <si>
    <t>TUGGIT</t>
  </si>
  <si>
    <t>Peter J Litsheim</t>
  </si>
  <si>
    <t>065535</t>
  </si>
  <si>
    <t>Daniel Fanning</t>
  </si>
  <si>
    <t>PORQ Point</t>
  </si>
  <si>
    <t>065550</t>
  </si>
  <si>
    <r>
      <t xml:space="preserve">GNA Vallenar Young Growth    </t>
    </r>
    <r>
      <rPr>
        <sz val="9"/>
        <color theme="1"/>
        <rFont val="Arial"/>
        <family val="2"/>
      </rPr>
      <t>1/</t>
    </r>
  </si>
  <si>
    <t>Footnote:</t>
  </si>
  <si>
    <t xml:space="preserve">   1/</t>
  </si>
  <si>
    <t>Good Neighbor Authority (GNA) sales produce no direct timber receipts for the Forest Service per current legislation.</t>
  </si>
  <si>
    <t>Volume only is reported.  Receipts generated reside with the State for use in restoration contract activities associated</t>
  </si>
  <si>
    <t>with the project.</t>
  </si>
  <si>
    <t>Slimy Snakey</t>
  </si>
  <si>
    <t>Patrick Fowler</t>
  </si>
  <si>
    <t>Fair &amp; Square Lumber &amp; Milling</t>
  </si>
  <si>
    <t>State of Alaska, DOT &amp; Public Fac.</t>
  </si>
  <si>
    <t>Mark Mitchell</t>
  </si>
  <si>
    <t>Mike Matney</t>
  </si>
  <si>
    <t>065592</t>
  </si>
  <si>
    <t>Triple C</t>
  </si>
  <si>
    <t>Kevin Merry</t>
  </si>
  <si>
    <t>Peak Engineering</t>
  </si>
  <si>
    <t>Brent Cole</t>
  </si>
  <si>
    <t>065725</t>
  </si>
  <si>
    <t>Salty Snakey</t>
  </si>
  <si>
    <t>Shortcut Timber Salvage</t>
  </si>
  <si>
    <t>Austin Chapman</t>
  </si>
  <si>
    <t>Coeur Alaska Inc.</t>
  </si>
  <si>
    <t>065782</t>
  </si>
  <si>
    <t>Kensington #3 Settlement</t>
  </si>
  <si>
    <t>Joshua Shoop</t>
  </si>
  <si>
    <t>Ben Newton</t>
  </si>
  <si>
    <t>065832</t>
  </si>
  <si>
    <t>Wrangell Island #1</t>
  </si>
  <si>
    <t>065816</t>
  </si>
  <si>
    <t>Boy Scout YG</t>
  </si>
  <si>
    <t>065840</t>
  </si>
  <si>
    <t>Gordon W Chew</t>
  </si>
  <si>
    <t>Barking Dog YG</t>
  </si>
  <si>
    <t>Vicky Hayes</t>
  </si>
  <si>
    <t>002844</t>
  </si>
  <si>
    <t>Lazy Moose Fuelwood</t>
  </si>
  <si>
    <t>002851</t>
  </si>
  <si>
    <t>Big Bear Fuelwood</t>
  </si>
  <si>
    <t>065873</t>
  </si>
  <si>
    <t>Upper Falls Creek YG</t>
  </si>
  <si>
    <t>065881</t>
  </si>
  <si>
    <t>Kensington #4 Settlement</t>
  </si>
  <si>
    <t>065899</t>
  </si>
  <si>
    <t>Microsale 279</t>
  </si>
  <si>
    <t>065915</t>
  </si>
  <si>
    <t>Bear View</t>
  </si>
  <si>
    <t>David A. Moyer</t>
  </si>
  <si>
    <t>065923</t>
  </si>
  <si>
    <t>MISS ALFA YG</t>
  </si>
  <si>
    <t>065931</t>
  </si>
  <si>
    <t>MISS #14 YG</t>
  </si>
  <si>
    <t>065956</t>
  </si>
  <si>
    <t>MISS BRAVO</t>
  </si>
  <si>
    <t>065980</t>
  </si>
  <si>
    <t>KISS K #4</t>
  </si>
  <si>
    <t>065972</t>
  </si>
  <si>
    <t>YODER</t>
  </si>
  <si>
    <t>Mitkof Milling, LLC</t>
  </si>
  <si>
    <t>066004</t>
  </si>
  <si>
    <t>MISS CHARLIE</t>
  </si>
  <si>
    <t>066020</t>
  </si>
  <si>
    <t>Shelter Cove Road ROW</t>
  </si>
  <si>
    <t>066046</t>
  </si>
  <si>
    <t>Beaver Flats</t>
  </si>
  <si>
    <t>Puddle Duck YG</t>
  </si>
  <si>
    <t>066061</t>
  </si>
  <si>
    <t>Twelvemile Decks</t>
  </si>
  <si>
    <t>066095</t>
  </si>
  <si>
    <t>Luck Lake YG</t>
  </si>
  <si>
    <t>Frederick LaCour</t>
  </si>
  <si>
    <t>066111</t>
  </si>
  <si>
    <t>Sour Snakey</t>
  </si>
  <si>
    <t>066129</t>
  </si>
  <si>
    <t>MISS FOXTROT</t>
  </si>
  <si>
    <t>066137</t>
  </si>
  <si>
    <t>MISS ECHO YG</t>
  </si>
  <si>
    <t>066145</t>
  </si>
  <si>
    <t>Ricky Perkins</t>
  </si>
  <si>
    <t>MISS GOLF YG</t>
  </si>
  <si>
    <t>TM Construction, Inc</t>
  </si>
  <si>
    <t>002893</t>
  </si>
  <si>
    <t>Creekside Fuelwood</t>
  </si>
  <si>
    <t>002901</t>
  </si>
  <si>
    <t>002919</t>
  </si>
  <si>
    <t>002927</t>
  </si>
  <si>
    <t>Evergreen Alaska Inc.</t>
  </si>
  <si>
    <t>Devils Fuelwood</t>
  </si>
  <si>
    <t>Eastside Fuelwood</t>
  </si>
  <si>
    <t>Strip Fuelwood</t>
  </si>
  <si>
    <t>Naukati MW</t>
  </si>
  <si>
    <t>Sarkar MW</t>
  </si>
  <si>
    <t>Upper Staney MW</t>
  </si>
  <si>
    <t>066152</t>
  </si>
  <si>
    <t>066178</t>
  </si>
  <si>
    <t>066160</t>
  </si>
  <si>
    <t>066210</t>
  </si>
  <si>
    <t>Tideline Construction LLC</t>
  </si>
  <si>
    <t>Pond Monkey</t>
  </si>
  <si>
    <t>066194</t>
  </si>
  <si>
    <t>Steven McCord</t>
  </si>
  <si>
    <t>Naukati Creek</t>
  </si>
  <si>
    <t>066228</t>
  </si>
  <si>
    <t>Tri Thorne</t>
  </si>
  <si>
    <t>066236</t>
  </si>
  <si>
    <t>Korbin Crew</t>
  </si>
  <si>
    <t>Near Summit</t>
  </si>
  <si>
    <t>066244</t>
  </si>
  <si>
    <t>Microsale 295</t>
  </si>
  <si>
    <t>U.S. Forest Service, Alaska Region, Remaining Timber Sales Volumes and Values on August 31, 2025.</t>
  </si>
  <si>
    <t>002935</t>
  </si>
  <si>
    <t>Victor Kauffman</t>
  </si>
  <si>
    <t>Russian Fuelwood Reoffer</t>
  </si>
  <si>
    <t>066293</t>
  </si>
  <si>
    <t>David Stirling</t>
  </si>
  <si>
    <t>KISS ACCORDIAN</t>
  </si>
  <si>
    <t>066251</t>
  </si>
  <si>
    <t>Second Growth Homes LLC</t>
  </si>
  <si>
    <t>Tree Squeak Young Growth</t>
  </si>
  <si>
    <t>066269</t>
  </si>
  <si>
    <t>Pavlov Valley</t>
  </si>
  <si>
    <t>066277</t>
  </si>
  <si>
    <t>Honker Heli</t>
  </si>
  <si>
    <t>066285</t>
  </si>
  <si>
    <t>Shaan-Seet Inc</t>
  </si>
  <si>
    <t>Microsale #298 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</si>
</sst>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1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2" applyNumberFormat="0" applyAlignment="0" applyProtection="0"/>
    <xf numFmtId="0" fontId="41" fillId="28" borderId="3" applyNumberFormat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2" applyNumberFormat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50" fillId="2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/>
    <xf numFmtId="0" fontId="34" fillId="32" borderId="8" applyNumberFormat="0" applyFont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3" borderId="0" applyNumberFormat="0" applyBorder="0" applyAlignment="0" applyProtection="0"/>
    <xf numFmtId="0" fontId="33" fillId="0" borderId="0"/>
    <xf numFmtId="0" fontId="33" fillId="32" borderId="8" applyNumberFormat="0" applyFont="0" applyAlignment="0" applyProtection="0"/>
    <xf numFmtId="0" fontId="33" fillId="2" borderId="0" applyNumberFormat="0" applyBorder="0" applyAlignment="0" applyProtection="0"/>
    <xf numFmtId="0" fontId="33" fillId="8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0" fontId="32" fillId="32" borderId="8" applyNumberFormat="0" applyFont="0" applyAlignment="0" applyProtection="0"/>
    <xf numFmtId="0" fontId="32" fillId="2" borderId="0" applyNumberFormat="0" applyBorder="0" applyAlignment="0" applyProtection="0"/>
    <xf numFmtId="0" fontId="32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4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3" borderId="0" applyNumberFormat="0" applyBorder="0" applyAlignment="0" applyProtection="0"/>
    <xf numFmtId="0" fontId="31" fillId="0" borderId="0"/>
    <xf numFmtId="0" fontId="31" fillId="32" borderId="8" applyNumberFormat="0" applyFont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4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3" borderId="0" applyNumberFormat="0" applyBorder="0" applyAlignment="0" applyProtection="0"/>
    <xf numFmtId="0" fontId="30" fillId="0" borderId="0"/>
    <xf numFmtId="0" fontId="30" fillId="32" borderId="8" applyNumberFormat="0" applyFont="0" applyAlignment="0" applyProtection="0"/>
    <xf numFmtId="0" fontId="30" fillId="2" borderId="0" applyNumberFormat="0" applyBorder="0" applyAlignment="0" applyProtection="0"/>
    <xf numFmtId="0" fontId="30" fillId="8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3" borderId="0" applyNumberFormat="0" applyBorder="0" applyAlignment="0" applyProtection="0"/>
    <xf numFmtId="0" fontId="29" fillId="0" borderId="0"/>
    <xf numFmtId="0" fontId="29" fillId="32" borderId="8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0" borderId="0"/>
    <xf numFmtId="0" fontId="28" fillId="32" borderId="8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0" borderId="0"/>
    <xf numFmtId="0" fontId="27" fillId="32" borderId="8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0" borderId="0"/>
    <xf numFmtId="0" fontId="26" fillId="32" borderId="8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5" fillId="0" borderId="0"/>
    <xf numFmtId="0" fontId="25" fillId="32" borderId="8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26" borderId="0" applyNumberFormat="0" applyBorder="0" applyAlignment="0" applyProtection="0"/>
    <xf numFmtId="0" fontId="61" fillId="31" borderId="0" applyNumberFormat="0" applyBorder="0" applyAlignment="0" applyProtection="0"/>
    <xf numFmtId="0" fontId="62" fillId="30" borderId="2" applyNumberFormat="0" applyAlignment="0" applyProtection="0"/>
    <xf numFmtId="0" fontId="63" fillId="27" borderId="9" applyNumberFormat="0" applyAlignment="0" applyProtection="0"/>
    <xf numFmtId="0" fontId="64" fillId="27" borderId="2" applyNumberFormat="0" applyAlignment="0" applyProtection="0"/>
    <xf numFmtId="0" fontId="65" fillId="0" borderId="7" applyNumberFormat="0" applyFill="0" applyAlignment="0" applyProtection="0"/>
    <xf numFmtId="0" fontId="66" fillId="28" borderId="3" applyNumberFormat="0" applyAlignment="0" applyProtection="0"/>
    <xf numFmtId="0" fontId="67" fillId="0" borderId="0" applyNumberFormat="0" applyFill="0" applyBorder="0" applyAlignment="0" applyProtection="0"/>
    <xf numFmtId="0" fontId="24" fillId="32" borderId="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20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70" fillId="15" borderId="0" applyNumberFormat="0" applyBorder="0" applyAlignment="0" applyProtection="0"/>
    <xf numFmtId="0" fontId="70" fillId="22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70" fillId="18" borderId="0" applyNumberFormat="0" applyBorder="0" applyAlignment="0" applyProtection="0"/>
    <xf numFmtId="0" fontId="70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70" fillId="19" borderId="0" applyNumberFormat="0" applyBorder="0" applyAlignment="0" applyProtection="0"/>
    <xf numFmtId="0" fontId="23" fillId="0" borderId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94">
    <xf numFmtId="0" fontId="0" fillId="0" borderId="0" xfId="0"/>
    <xf numFmtId="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1" fontId="35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5" fillId="0" borderId="0" xfId="0" applyFont="1" applyAlignment="1">
      <alignment vertical="center"/>
    </xf>
    <xf numFmtId="4" fontId="54" fillId="0" borderId="0" xfId="0" applyNumberFormat="1" applyFont="1"/>
    <xf numFmtId="164" fontId="54" fillId="0" borderId="0" xfId="0" applyNumberFormat="1" applyFont="1"/>
    <xf numFmtId="0" fontId="54" fillId="0" borderId="0" xfId="588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/>
    </xf>
    <xf numFmtId="4" fontId="54" fillId="0" borderId="0" xfId="518" applyNumberFormat="1" applyFont="1" applyAlignment="1">
      <alignment vertical="center"/>
    </xf>
    <xf numFmtId="0" fontId="54" fillId="0" borderId="0" xfId="392" applyFont="1" applyAlignment="1">
      <alignment vertical="center"/>
    </xf>
    <xf numFmtId="0" fontId="54" fillId="0" borderId="0" xfId="169" applyFont="1" applyAlignment="1">
      <alignment vertical="center"/>
    </xf>
    <xf numFmtId="0" fontId="35" fillId="0" borderId="0" xfId="0" applyFont="1" applyAlignment="1">
      <alignment horizontal="center"/>
    </xf>
    <xf numFmtId="4" fontId="35" fillId="0" borderId="0" xfId="0" applyNumberFormat="1" applyFont="1"/>
    <xf numFmtId="164" fontId="35" fillId="0" borderId="0" xfId="0" applyNumberFormat="1" applyFont="1"/>
    <xf numFmtId="4" fontId="35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54" fillId="0" borderId="0" xfId="0" applyNumberFormat="1" applyFont="1" applyAlignment="1">
      <alignment vertical="center"/>
    </xf>
    <xf numFmtId="4" fontId="54" fillId="0" borderId="0" xfId="406" applyNumberFormat="1" applyFont="1" applyAlignment="1">
      <alignment vertical="center"/>
    </xf>
    <xf numFmtId="4" fontId="54" fillId="0" borderId="0" xfId="169" applyNumberFormat="1" applyFont="1" applyAlignment="1">
      <alignment vertical="center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54" fillId="0" borderId="0" xfId="37" applyFont="1" applyAlignment="1">
      <alignment horizontal="center" vertical="center"/>
    </xf>
    <xf numFmtId="49" fontId="54" fillId="0" borderId="0" xfId="37" applyNumberFormat="1" applyFont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54" fillId="0" borderId="0" xfId="406" applyFont="1" applyAlignment="1">
      <alignment horizontal="center" vertical="center"/>
    </xf>
    <xf numFmtId="49" fontId="54" fillId="0" borderId="0" xfId="406" applyNumberFormat="1" applyFont="1" applyAlignment="1">
      <alignment horizontal="center" vertical="center"/>
    </xf>
    <xf numFmtId="14" fontId="54" fillId="0" borderId="0" xfId="406" applyNumberFormat="1" applyFont="1" applyAlignment="1">
      <alignment horizontal="center" vertical="center"/>
    </xf>
    <xf numFmtId="164" fontId="54" fillId="0" borderId="0" xfId="406" applyNumberFormat="1" applyFont="1" applyAlignment="1">
      <alignment vertical="center"/>
    </xf>
    <xf numFmtId="0" fontId="54" fillId="0" borderId="0" xfId="169" applyFont="1" applyAlignment="1">
      <alignment horizontal="center" vertical="center"/>
    </xf>
    <xf numFmtId="49" fontId="54" fillId="0" borderId="0" xfId="169" applyNumberFormat="1" applyFont="1" applyAlignment="1">
      <alignment horizontal="center" vertical="center"/>
    </xf>
    <xf numFmtId="14" fontId="54" fillId="0" borderId="0" xfId="169" applyNumberFormat="1" applyFont="1" applyAlignment="1">
      <alignment horizontal="center" vertical="center"/>
    </xf>
    <xf numFmtId="164" fontId="54" fillId="0" borderId="0" xfId="169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5" fontId="35" fillId="0" borderId="11" xfId="0" applyNumberFormat="1" applyFont="1" applyBorder="1" applyAlignment="1">
      <alignment horizontal="center" vertical="center"/>
    </xf>
    <xf numFmtId="0" fontId="72" fillId="0" borderId="0" xfId="0" applyFont="1"/>
    <xf numFmtId="165" fontId="35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center" wrapText="1"/>
    </xf>
    <xf numFmtId="49" fontId="35" fillId="0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14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/>
    <xf numFmtId="4" fontId="35" fillId="0" borderId="0" xfId="0" applyNumberFormat="1" applyFont="1" applyFill="1"/>
    <xf numFmtId="164" fontId="35" fillId="0" borderId="0" xfId="0" applyNumberFormat="1" applyFont="1" applyFill="1"/>
    <xf numFmtId="0" fontId="36" fillId="0" borderId="0" xfId="0" applyFont="1" applyFill="1"/>
    <xf numFmtId="164" fontId="36" fillId="0" borderId="0" xfId="0" applyNumberFormat="1" applyFont="1" applyFill="1"/>
    <xf numFmtId="0" fontId="35" fillId="0" borderId="0" xfId="0" applyFont="1" applyFill="1" applyAlignment="1">
      <alignment vertical="center"/>
    </xf>
    <xf numFmtId="0" fontId="54" fillId="0" borderId="0" xfId="155" applyFont="1" applyFill="1" applyAlignment="1">
      <alignment vertical="center"/>
    </xf>
    <xf numFmtId="0" fontId="54" fillId="0" borderId="0" xfId="0" applyFont="1" applyFill="1"/>
    <xf numFmtId="0" fontId="35" fillId="0" borderId="0" xfId="0" applyFont="1" applyFill="1" applyAlignment="1">
      <alignment vertical="center" wrapText="1"/>
    </xf>
    <xf numFmtId="0" fontId="54" fillId="0" borderId="0" xfId="39" applyFont="1" applyFill="1" applyAlignment="1">
      <alignment vertical="center"/>
    </xf>
    <xf numFmtId="0" fontId="54" fillId="0" borderId="0" xfId="588" applyFont="1" applyFill="1" applyAlignment="1">
      <alignment vertical="center"/>
    </xf>
    <xf numFmtId="0" fontId="54" fillId="0" borderId="0" xfId="588" applyFont="1" applyFill="1"/>
    <xf numFmtId="0" fontId="54" fillId="0" borderId="0" xfId="588" applyFont="1" applyFill="1" applyAlignment="1">
      <alignment horizontal="left" wrapText="1"/>
    </xf>
  </cellXfs>
  <cellStyles count="617">
    <cellStyle name="20% - Accent1" xfId="1" builtinId="30" customBuiltin="1"/>
    <cellStyle name="20% - Accent1 10" xfId="227" xr:uid="{00000000-0005-0000-0000-000001000000}"/>
    <cellStyle name="20% - Accent1 11" xfId="241" xr:uid="{00000000-0005-0000-0000-000002000000}"/>
    <cellStyle name="20% - Accent1 12" xfId="271" xr:uid="{00000000-0005-0000-0000-000003000000}"/>
    <cellStyle name="20% - Accent1 13" xfId="296" xr:uid="{00000000-0005-0000-0000-000004000000}"/>
    <cellStyle name="20% - Accent1 14" xfId="310" xr:uid="{00000000-0005-0000-0000-000005000000}"/>
    <cellStyle name="20% - Accent1 15" xfId="324" xr:uid="{00000000-0005-0000-0000-000006000000}"/>
    <cellStyle name="20% - Accent1 16" xfId="338" xr:uid="{00000000-0005-0000-0000-000007000000}"/>
    <cellStyle name="20% - Accent1 17" xfId="352" xr:uid="{00000000-0005-0000-0000-000008000000}"/>
    <cellStyle name="20% - Accent1 18" xfId="366" xr:uid="{00000000-0005-0000-0000-000009000000}"/>
    <cellStyle name="20% - Accent1 19" xfId="380" xr:uid="{00000000-0005-0000-0000-00000A000000}"/>
    <cellStyle name="20% - Accent1 2" xfId="115" xr:uid="{00000000-0005-0000-0000-00000B000000}"/>
    <cellStyle name="20% - Accent1 20" xfId="394" xr:uid="{00000000-0005-0000-0000-00000C000000}"/>
    <cellStyle name="20% - Accent1 21" xfId="408" xr:uid="{00000000-0005-0000-0000-00000D000000}"/>
    <cellStyle name="20% - Accent1 22" xfId="422" xr:uid="{00000000-0005-0000-0000-00000E000000}"/>
    <cellStyle name="20% - Accent1 23" xfId="436" xr:uid="{00000000-0005-0000-0000-00000F000000}"/>
    <cellStyle name="20% - Accent1 24" xfId="450" xr:uid="{00000000-0005-0000-0000-000010000000}"/>
    <cellStyle name="20% - Accent1 25" xfId="464" xr:uid="{00000000-0005-0000-0000-000011000000}"/>
    <cellStyle name="20% - Accent1 26" xfId="478" xr:uid="{00000000-0005-0000-0000-000012000000}"/>
    <cellStyle name="20% - Accent1 27" xfId="492" xr:uid="{00000000-0005-0000-0000-000013000000}"/>
    <cellStyle name="20% - Accent1 28" xfId="506" xr:uid="{00000000-0005-0000-0000-000014000000}"/>
    <cellStyle name="20% - Accent1 29" xfId="520" xr:uid="{00000000-0005-0000-0000-000015000000}"/>
    <cellStyle name="20% - Accent1 3" xfId="129" xr:uid="{00000000-0005-0000-0000-000016000000}"/>
    <cellStyle name="20% - Accent1 30" xfId="534" xr:uid="{00000000-0005-0000-0000-000017000000}"/>
    <cellStyle name="20% - Accent1 31" xfId="548" xr:uid="{00000000-0005-0000-0000-000018000000}"/>
    <cellStyle name="20% - Accent1 32" xfId="562" xr:uid="{00000000-0005-0000-0000-000019000000}"/>
    <cellStyle name="20% - Accent1 33" xfId="576" xr:uid="{00000000-0005-0000-0000-00001A000000}"/>
    <cellStyle name="20% - Accent1 34" xfId="590" xr:uid="{00000000-0005-0000-0000-00001B000000}"/>
    <cellStyle name="20% - Accent1 35" xfId="605" xr:uid="{00000000-0005-0000-0000-00001C000000}"/>
    <cellStyle name="20% - Accent1 4" xfId="143" xr:uid="{00000000-0005-0000-0000-00001D000000}"/>
    <cellStyle name="20% - Accent1 5" xfId="157" xr:uid="{00000000-0005-0000-0000-00001E000000}"/>
    <cellStyle name="20% - Accent1 6" xfId="171" xr:uid="{00000000-0005-0000-0000-00001F000000}"/>
    <cellStyle name="20% - Accent1 7" xfId="185" xr:uid="{00000000-0005-0000-0000-000020000000}"/>
    <cellStyle name="20% - Accent1 8" xfId="199" xr:uid="{00000000-0005-0000-0000-000021000000}"/>
    <cellStyle name="20% - Accent1 9" xfId="213" xr:uid="{00000000-0005-0000-0000-000022000000}"/>
    <cellStyle name="20% - Accent2" xfId="2" builtinId="34" customBuiltin="1"/>
    <cellStyle name="20% - Accent2 10" xfId="229" xr:uid="{00000000-0005-0000-0000-000024000000}"/>
    <cellStyle name="20% - Accent2 11" xfId="243" xr:uid="{00000000-0005-0000-0000-000025000000}"/>
    <cellStyle name="20% - Accent2 12" xfId="275" xr:uid="{00000000-0005-0000-0000-000026000000}"/>
    <cellStyle name="20% - Accent2 13" xfId="298" xr:uid="{00000000-0005-0000-0000-000027000000}"/>
    <cellStyle name="20% - Accent2 14" xfId="312" xr:uid="{00000000-0005-0000-0000-000028000000}"/>
    <cellStyle name="20% - Accent2 15" xfId="326" xr:uid="{00000000-0005-0000-0000-000029000000}"/>
    <cellStyle name="20% - Accent2 16" xfId="340" xr:uid="{00000000-0005-0000-0000-00002A000000}"/>
    <cellStyle name="20% - Accent2 17" xfId="354" xr:uid="{00000000-0005-0000-0000-00002B000000}"/>
    <cellStyle name="20% - Accent2 18" xfId="368" xr:uid="{00000000-0005-0000-0000-00002C000000}"/>
    <cellStyle name="20% - Accent2 19" xfId="382" xr:uid="{00000000-0005-0000-0000-00002D000000}"/>
    <cellStyle name="20% - Accent2 2" xfId="117" xr:uid="{00000000-0005-0000-0000-00002E000000}"/>
    <cellStyle name="20% - Accent2 20" xfId="396" xr:uid="{00000000-0005-0000-0000-00002F000000}"/>
    <cellStyle name="20% - Accent2 21" xfId="410" xr:uid="{00000000-0005-0000-0000-000030000000}"/>
    <cellStyle name="20% - Accent2 22" xfId="424" xr:uid="{00000000-0005-0000-0000-000031000000}"/>
    <cellStyle name="20% - Accent2 23" xfId="438" xr:uid="{00000000-0005-0000-0000-000032000000}"/>
    <cellStyle name="20% - Accent2 24" xfId="452" xr:uid="{00000000-0005-0000-0000-000033000000}"/>
    <cellStyle name="20% - Accent2 25" xfId="466" xr:uid="{00000000-0005-0000-0000-000034000000}"/>
    <cellStyle name="20% - Accent2 26" xfId="480" xr:uid="{00000000-0005-0000-0000-000035000000}"/>
    <cellStyle name="20% - Accent2 27" xfId="494" xr:uid="{00000000-0005-0000-0000-000036000000}"/>
    <cellStyle name="20% - Accent2 28" xfId="508" xr:uid="{00000000-0005-0000-0000-000037000000}"/>
    <cellStyle name="20% - Accent2 29" xfId="522" xr:uid="{00000000-0005-0000-0000-000038000000}"/>
    <cellStyle name="20% - Accent2 3" xfId="131" xr:uid="{00000000-0005-0000-0000-000039000000}"/>
    <cellStyle name="20% - Accent2 30" xfId="536" xr:uid="{00000000-0005-0000-0000-00003A000000}"/>
    <cellStyle name="20% - Accent2 31" xfId="550" xr:uid="{00000000-0005-0000-0000-00003B000000}"/>
    <cellStyle name="20% - Accent2 32" xfId="564" xr:uid="{00000000-0005-0000-0000-00003C000000}"/>
    <cellStyle name="20% - Accent2 33" xfId="578" xr:uid="{00000000-0005-0000-0000-00003D000000}"/>
    <cellStyle name="20% - Accent2 34" xfId="592" xr:uid="{00000000-0005-0000-0000-00003E000000}"/>
    <cellStyle name="20% - Accent2 35" xfId="607" xr:uid="{00000000-0005-0000-0000-00003F000000}"/>
    <cellStyle name="20% - Accent2 4" xfId="145" xr:uid="{00000000-0005-0000-0000-000040000000}"/>
    <cellStyle name="20% - Accent2 5" xfId="159" xr:uid="{00000000-0005-0000-0000-000041000000}"/>
    <cellStyle name="20% - Accent2 6" xfId="173" xr:uid="{00000000-0005-0000-0000-000042000000}"/>
    <cellStyle name="20% - Accent2 7" xfId="187" xr:uid="{00000000-0005-0000-0000-000043000000}"/>
    <cellStyle name="20% - Accent2 8" xfId="201" xr:uid="{00000000-0005-0000-0000-000044000000}"/>
    <cellStyle name="20% - Accent2 9" xfId="215" xr:uid="{00000000-0005-0000-0000-000045000000}"/>
    <cellStyle name="20% - Accent3" xfId="3" builtinId="38" customBuiltin="1"/>
    <cellStyle name="20% - Accent3 10" xfId="231" xr:uid="{00000000-0005-0000-0000-000047000000}"/>
    <cellStyle name="20% - Accent3 11" xfId="245" xr:uid="{00000000-0005-0000-0000-000048000000}"/>
    <cellStyle name="20% - Accent3 12" xfId="279" xr:uid="{00000000-0005-0000-0000-000049000000}"/>
    <cellStyle name="20% - Accent3 13" xfId="300" xr:uid="{00000000-0005-0000-0000-00004A000000}"/>
    <cellStyle name="20% - Accent3 14" xfId="314" xr:uid="{00000000-0005-0000-0000-00004B000000}"/>
    <cellStyle name="20% - Accent3 15" xfId="328" xr:uid="{00000000-0005-0000-0000-00004C000000}"/>
    <cellStyle name="20% - Accent3 16" xfId="342" xr:uid="{00000000-0005-0000-0000-00004D000000}"/>
    <cellStyle name="20% - Accent3 17" xfId="356" xr:uid="{00000000-0005-0000-0000-00004E000000}"/>
    <cellStyle name="20% - Accent3 18" xfId="370" xr:uid="{00000000-0005-0000-0000-00004F000000}"/>
    <cellStyle name="20% - Accent3 19" xfId="384" xr:uid="{00000000-0005-0000-0000-000050000000}"/>
    <cellStyle name="20% - Accent3 2" xfId="119" xr:uid="{00000000-0005-0000-0000-000051000000}"/>
    <cellStyle name="20% - Accent3 20" xfId="398" xr:uid="{00000000-0005-0000-0000-000052000000}"/>
    <cellStyle name="20% - Accent3 21" xfId="412" xr:uid="{00000000-0005-0000-0000-000053000000}"/>
    <cellStyle name="20% - Accent3 22" xfId="426" xr:uid="{00000000-0005-0000-0000-000054000000}"/>
    <cellStyle name="20% - Accent3 23" xfId="440" xr:uid="{00000000-0005-0000-0000-000055000000}"/>
    <cellStyle name="20% - Accent3 24" xfId="454" xr:uid="{00000000-0005-0000-0000-000056000000}"/>
    <cellStyle name="20% - Accent3 25" xfId="468" xr:uid="{00000000-0005-0000-0000-000057000000}"/>
    <cellStyle name="20% - Accent3 26" xfId="482" xr:uid="{00000000-0005-0000-0000-000058000000}"/>
    <cellStyle name="20% - Accent3 27" xfId="496" xr:uid="{00000000-0005-0000-0000-000059000000}"/>
    <cellStyle name="20% - Accent3 28" xfId="510" xr:uid="{00000000-0005-0000-0000-00005A000000}"/>
    <cellStyle name="20% - Accent3 29" xfId="524" xr:uid="{00000000-0005-0000-0000-00005B000000}"/>
    <cellStyle name="20% - Accent3 3" xfId="133" xr:uid="{00000000-0005-0000-0000-00005C000000}"/>
    <cellStyle name="20% - Accent3 30" xfId="538" xr:uid="{00000000-0005-0000-0000-00005D000000}"/>
    <cellStyle name="20% - Accent3 31" xfId="552" xr:uid="{00000000-0005-0000-0000-00005E000000}"/>
    <cellStyle name="20% - Accent3 32" xfId="566" xr:uid="{00000000-0005-0000-0000-00005F000000}"/>
    <cellStyle name="20% - Accent3 33" xfId="580" xr:uid="{00000000-0005-0000-0000-000060000000}"/>
    <cellStyle name="20% - Accent3 34" xfId="594" xr:uid="{00000000-0005-0000-0000-000061000000}"/>
    <cellStyle name="20% - Accent3 35" xfId="609" xr:uid="{00000000-0005-0000-0000-000062000000}"/>
    <cellStyle name="20% - Accent3 4" xfId="147" xr:uid="{00000000-0005-0000-0000-000063000000}"/>
    <cellStyle name="20% - Accent3 5" xfId="161" xr:uid="{00000000-0005-0000-0000-000064000000}"/>
    <cellStyle name="20% - Accent3 6" xfId="175" xr:uid="{00000000-0005-0000-0000-000065000000}"/>
    <cellStyle name="20% - Accent3 7" xfId="189" xr:uid="{00000000-0005-0000-0000-000066000000}"/>
    <cellStyle name="20% - Accent3 8" xfId="203" xr:uid="{00000000-0005-0000-0000-000067000000}"/>
    <cellStyle name="20% - Accent3 9" xfId="217" xr:uid="{00000000-0005-0000-0000-000068000000}"/>
    <cellStyle name="20% - Accent4" xfId="4" builtinId="42" customBuiltin="1"/>
    <cellStyle name="20% - Accent4 10" xfId="233" xr:uid="{00000000-0005-0000-0000-00006A000000}"/>
    <cellStyle name="20% - Accent4 11" xfId="247" xr:uid="{00000000-0005-0000-0000-00006B000000}"/>
    <cellStyle name="20% - Accent4 12" xfId="283" xr:uid="{00000000-0005-0000-0000-00006C000000}"/>
    <cellStyle name="20% - Accent4 13" xfId="302" xr:uid="{00000000-0005-0000-0000-00006D000000}"/>
    <cellStyle name="20% - Accent4 14" xfId="316" xr:uid="{00000000-0005-0000-0000-00006E000000}"/>
    <cellStyle name="20% - Accent4 15" xfId="330" xr:uid="{00000000-0005-0000-0000-00006F000000}"/>
    <cellStyle name="20% - Accent4 16" xfId="344" xr:uid="{00000000-0005-0000-0000-000070000000}"/>
    <cellStyle name="20% - Accent4 17" xfId="358" xr:uid="{00000000-0005-0000-0000-000071000000}"/>
    <cellStyle name="20% - Accent4 18" xfId="372" xr:uid="{00000000-0005-0000-0000-000072000000}"/>
    <cellStyle name="20% - Accent4 19" xfId="386" xr:uid="{00000000-0005-0000-0000-000073000000}"/>
    <cellStyle name="20% - Accent4 2" xfId="121" xr:uid="{00000000-0005-0000-0000-000074000000}"/>
    <cellStyle name="20% - Accent4 20" xfId="400" xr:uid="{00000000-0005-0000-0000-000075000000}"/>
    <cellStyle name="20% - Accent4 21" xfId="414" xr:uid="{00000000-0005-0000-0000-000076000000}"/>
    <cellStyle name="20% - Accent4 22" xfId="428" xr:uid="{00000000-0005-0000-0000-000077000000}"/>
    <cellStyle name="20% - Accent4 23" xfId="442" xr:uid="{00000000-0005-0000-0000-000078000000}"/>
    <cellStyle name="20% - Accent4 24" xfId="456" xr:uid="{00000000-0005-0000-0000-000079000000}"/>
    <cellStyle name="20% - Accent4 25" xfId="470" xr:uid="{00000000-0005-0000-0000-00007A000000}"/>
    <cellStyle name="20% - Accent4 26" xfId="484" xr:uid="{00000000-0005-0000-0000-00007B000000}"/>
    <cellStyle name="20% - Accent4 27" xfId="498" xr:uid="{00000000-0005-0000-0000-00007C000000}"/>
    <cellStyle name="20% - Accent4 28" xfId="512" xr:uid="{00000000-0005-0000-0000-00007D000000}"/>
    <cellStyle name="20% - Accent4 29" xfId="526" xr:uid="{00000000-0005-0000-0000-00007E000000}"/>
    <cellStyle name="20% - Accent4 3" xfId="135" xr:uid="{00000000-0005-0000-0000-00007F000000}"/>
    <cellStyle name="20% - Accent4 30" xfId="540" xr:uid="{00000000-0005-0000-0000-000080000000}"/>
    <cellStyle name="20% - Accent4 31" xfId="554" xr:uid="{00000000-0005-0000-0000-000081000000}"/>
    <cellStyle name="20% - Accent4 32" xfId="568" xr:uid="{00000000-0005-0000-0000-000082000000}"/>
    <cellStyle name="20% - Accent4 33" xfId="582" xr:uid="{00000000-0005-0000-0000-000083000000}"/>
    <cellStyle name="20% - Accent4 34" xfId="596" xr:uid="{00000000-0005-0000-0000-000084000000}"/>
    <cellStyle name="20% - Accent4 35" xfId="611" xr:uid="{00000000-0005-0000-0000-000085000000}"/>
    <cellStyle name="20% - Accent4 4" xfId="149" xr:uid="{00000000-0005-0000-0000-000086000000}"/>
    <cellStyle name="20% - Accent4 5" xfId="163" xr:uid="{00000000-0005-0000-0000-000087000000}"/>
    <cellStyle name="20% - Accent4 6" xfId="177" xr:uid="{00000000-0005-0000-0000-000088000000}"/>
    <cellStyle name="20% - Accent4 7" xfId="191" xr:uid="{00000000-0005-0000-0000-000089000000}"/>
    <cellStyle name="20% - Accent4 8" xfId="205" xr:uid="{00000000-0005-0000-0000-00008A000000}"/>
    <cellStyle name="20% - Accent4 9" xfId="219" xr:uid="{00000000-0005-0000-0000-00008B000000}"/>
    <cellStyle name="20% - Accent5" xfId="5" builtinId="46" customBuiltin="1"/>
    <cellStyle name="20% - Accent5 10" xfId="235" xr:uid="{00000000-0005-0000-0000-00008D000000}"/>
    <cellStyle name="20% - Accent5 11" xfId="249" xr:uid="{00000000-0005-0000-0000-00008E000000}"/>
    <cellStyle name="20% - Accent5 12" xfId="287" xr:uid="{00000000-0005-0000-0000-00008F000000}"/>
    <cellStyle name="20% - Accent5 13" xfId="304" xr:uid="{00000000-0005-0000-0000-000090000000}"/>
    <cellStyle name="20% - Accent5 14" xfId="318" xr:uid="{00000000-0005-0000-0000-000091000000}"/>
    <cellStyle name="20% - Accent5 15" xfId="332" xr:uid="{00000000-0005-0000-0000-000092000000}"/>
    <cellStyle name="20% - Accent5 16" xfId="346" xr:uid="{00000000-0005-0000-0000-000093000000}"/>
    <cellStyle name="20% - Accent5 17" xfId="360" xr:uid="{00000000-0005-0000-0000-000094000000}"/>
    <cellStyle name="20% - Accent5 18" xfId="374" xr:uid="{00000000-0005-0000-0000-000095000000}"/>
    <cellStyle name="20% - Accent5 19" xfId="388" xr:uid="{00000000-0005-0000-0000-000096000000}"/>
    <cellStyle name="20% - Accent5 2" xfId="123" xr:uid="{00000000-0005-0000-0000-000097000000}"/>
    <cellStyle name="20% - Accent5 20" xfId="402" xr:uid="{00000000-0005-0000-0000-000098000000}"/>
    <cellStyle name="20% - Accent5 21" xfId="416" xr:uid="{00000000-0005-0000-0000-000099000000}"/>
    <cellStyle name="20% - Accent5 22" xfId="430" xr:uid="{00000000-0005-0000-0000-00009A000000}"/>
    <cellStyle name="20% - Accent5 23" xfId="444" xr:uid="{00000000-0005-0000-0000-00009B000000}"/>
    <cellStyle name="20% - Accent5 24" xfId="458" xr:uid="{00000000-0005-0000-0000-00009C000000}"/>
    <cellStyle name="20% - Accent5 25" xfId="472" xr:uid="{00000000-0005-0000-0000-00009D000000}"/>
    <cellStyle name="20% - Accent5 26" xfId="486" xr:uid="{00000000-0005-0000-0000-00009E000000}"/>
    <cellStyle name="20% - Accent5 27" xfId="500" xr:uid="{00000000-0005-0000-0000-00009F000000}"/>
    <cellStyle name="20% - Accent5 28" xfId="514" xr:uid="{00000000-0005-0000-0000-0000A0000000}"/>
    <cellStyle name="20% - Accent5 29" xfId="528" xr:uid="{00000000-0005-0000-0000-0000A1000000}"/>
    <cellStyle name="20% - Accent5 3" xfId="137" xr:uid="{00000000-0005-0000-0000-0000A2000000}"/>
    <cellStyle name="20% - Accent5 30" xfId="542" xr:uid="{00000000-0005-0000-0000-0000A3000000}"/>
    <cellStyle name="20% - Accent5 31" xfId="556" xr:uid="{00000000-0005-0000-0000-0000A4000000}"/>
    <cellStyle name="20% - Accent5 32" xfId="570" xr:uid="{00000000-0005-0000-0000-0000A5000000}"/>
    <cellStyle name="20% - Accent5 33" xfId="584" xr:uid="{00000000-0005-0000-0000-0000A6000000}"/>
    <cellStyle name="20% - Accent5 34" xfId="598" xr:uid="{00000000-0005-0000-0000-0000A7000000}"/>
    <cellStyle name="20% - Accent5 35" xfId="613" xr:uid="{00000000-0005-0000-0000-0000A8000000}"/>
    <cellStyle name="20% - Accent5 4" xfId="151" xr:uid="{00000000-0005-0000-0000-0000A9000000}"/>
    <cellStyle name="20% - Accent5 5" xfId="165" xr:uid="{00000000-0005-0000-0000-0000AA000000}"/>
    <cellStyle name="20% - Accent5 6" xfId="179" xr:uid="{00000000-0005-0000-0000-0000AB000000}"/>
    <cellStyle name="20% - Accent5 7" xfId="193" xr:uid="{00000000-0005-0000-0000-0000AC000000}"/>
    <cellStyle name="20% - Accent5 8" xfId="207" xr:uid="{00000000-0005-0000-0000-0000AD000000}"/>
    <cellStyle name="20% - Accent5 9" xfId="221" xr:uid="{00000000-0005-0000-0000-0000AE000000}"/>
    <cellStyle name="20% - Accent6" xfId="6" builtinId="50" customBuiltin="1"/>
    <cellStyle name="20% - Accent6 10" xfId="237" xr:uid="{00000000-0005-0000-0000-0000B0000000}"/>
    <cellStyle name="20% - Accent6 11" xfId="251" xr:uid="{00000000-0005-0000-0000-0000B1000000}"/>
    <cellStyle name="20% - Accent6 12" xfId="291" xr:uid="{00000000-0005-0000-0000-0000B2000000}"/>
    <cellStyle name="20% - Accent6 13" xfId="306" xr:uid="{00000000-0005-0000-0000-0000B3000000}"/>
    <cellStyle name="20% - Accent6 14" xfId="320" xr:uid="{00000000-0005-0000-0000-0000B4000000}"/>
    <cellStyle name="20% - Accent6 15" xfId="334" xr:uid="{00000000-0005-0000-0000-0000B5000000}"/>
    <cellStyle name="20% - Accent6 16" xfId="348" xr:uid="{00000000-0005-0000-0000-0000B6000000}"/>
    <cellStyle name="20% - Accent6 17" xfId="362" xr:uid="{00000000-0005-0000-0000-0000B7000000}"/>
    <cellStyle name="20% - Accent6 18" xfId="376" xr:uid="{00000000-0005-0000-0000-0000B8000000}"/>
    <cellStyle name="20% - Accent6 19" xfId="390" xr:uid="{00000000-0005-0000-0000-0000B9000000}"/>
    <cellStyle name="20% - Accent6 2" xfId="125" xr:uid="{00000000-0005-0000-0000-0000BA000000}"/>
    <cellStyle name="20% - Accent6 20" xfId="404" xr:uid="{00000000-0005-0000-0000-0000BB000000}"/>
    <cellStyle name="20% - Accent6 21" xfId="418" xr:uid="{00000000-0005-0000-0000-0000BC000000}"/>
    <cellStyle name="20% - Accent6 22" xfId="432" xr:uid="{00000000-0005-0000-0000-0000BD000000}"/>
    <cellStyle name="20% - Accent6 23" xfId="446" xr:uid="{00000000-0005-0000-0000-0000BE000000}"/>
    <cellStyle name="20% - Accent6 24" xfId="460" xr:uid="{00000000-0005-0000-0000-0000BF000000}"/>
    <cellStyle name="20% - Accent6 25" xfId="474" xr:uid="{00000000-0005-0000-0000-0000C0000000}"/>
    <cellStyle name="20% - Accent6 26" xfId="488" xr:uid="{00000000-0005-0000-0000-0000C1000000}"/>
    <cellStyle name="20% - Accent6 27" xfId="502" xr:uid="{00000000-0005-0000-0000-0000C2000000}"/>
    <cellStyle name="20% - Accent6 28" xfId="516" xr:uid="{00000000-0005-0000-0000-0000C3000000}"/>
    <cellStyle name="20% - Accent6 29" xfId="530" xr:uid="{00000000-0005-0000-0000-0000C4000000}"/>
    <cellStyle name="20% - Accent6 3" xfId="139" xr:uid="{00000000-0005-0000-0000-0000C5000000}"/>
    <cellStyle name="20% - Accent6 30" xfId="544" xr:uid="{00000000-0005-0000-0000-0000C6000000}"/>
    <cellStyle name="20% - Accent6 31" xfId="558" xr:uid="{00000000-0005-0000-0000-0000C7000000}"/>
    <cellStyle name="20% - Accent6 32" xfId="572" xr:uid="{00000000-0005-0000-0000-0000C8000000}"/>
    <cellStyle name="20% - Accent6 33" xfId="586" xr:uid="{00000000-0005-0000-0000-0000C9000000}"/>
    <cellStyle name="20% - Accent6 34" xfId="600" xr:uid="{00000000-0005-0000-0000-0000CA000000}"/>
    <cellStyle name="20% - Accent6 35" xfId="615" xr:uid="{00000000-0005-0000-0000-0000CB000000}"/>
    <cellStyle name="20% - Accent6 4" xfId="153" xr:uid="{00000000-0005-0000-0000-0000CC000000}"/>
    <cellStyle name="20% - Accent6 5" xfId="167" xr:uid="{00000000-0005-0000-0000-0000CD000000}"/>
    <cellStyle name="20% - Accent6 6" xfId="181" xr:uid="{00000000-0005-0000-0000-0000CE000000}"/>
    <cellStyle name="20% - Accent6 7" xfId="195" xr:uid="{00000000-0005-0000-0000-0000CF000000}"/>
    <cellStyle name="20% - Accent6 8" xfId="209" xr:uid="{00000000-0005-0000-0000-0000D0000000}"/>
    <cellStyle name="20% - Accent6 9" xfId="223" xr:uid="{00000000-0005-0000-0000-0000D1000000}"/>
    <cellStyle name="40% - Accent1" xfId="7" builtinId="31" customBuiltin="1"/>
    <cellStyle name="40% - Accent1 10" xfId="228" xr:uid="{00000000-0005-0000-0000-0000D3000000}"/>
    <cellStyle name="40% - Accent1 11" xfId="242" xr:uid="{00000000-0005-0000-0000-0000D4000000}"/>
    <cellStyle name="40% - Accent1 12" xfId="272" xr:uid="{00000000-0005-0000-0000-0000D5000000}"/>
    <cellStyle name="40% - Accent1 13" xfId="297" xr:uid="{00000000-0005-0000-0000-0000D6000000}"/>
    <cellStyle name="40% - Accent1 14" xfId="311" xr:uid="{00000000-0005-0000-0000-0000D7000000}"/>
    <cellStyle name="40% - Accent1 15" xfId="325" xr:uid="{00000000-0005-0000-0000-0000D8000000}"/>
    <cellStyle name="40% - Accent1 16" xfId="339" xr:uid="{00000000-0005-0000-0000-0000D9000000}"/>
    <cellStyle name="40% - Accent1 17" xfId="353" xr:uid="{00000000-0005-0000-0000-0000DA000000}"/>
    <cellStyle name="40% - Accent1 18" xfId="367" xr:uid="{00000000-0005-0000-0000-0000DB000000}"/>
    <cellStyle name="40% - Accent1 19" xfId="381" xr:uid="{00000000-0005-0000-0000-0000DC000000}"/>
    <cellStyle name="40% - Accent1 2" xfId="116" xr:uid="{00000000-0005-0000-0000-0000DD000000}"/>
    <cellStyle name="40% - Accent1 20" xfId="395" xr:uid="{00000000-0005-0000-0000-0000DE000000}"/>
    <cellStyle name="40% - Accent1 21" xfId="409" xr:uid="{00000000-0005-0000-0000-0000DF000000}"/>
    <cellStyle name="40% - Accent1 22" xfId="423" xr:uid="{00000000-0005-0000-0000-0000E0000000}"/>
    <cellStyle name="40% - Accent1 23" xfId="437" xr:uid="{00000000-0005-0000-0000-0000E1000000}"/>
    <cellStyle name="40% - Accent1 24" xfId="451" xr:uid="{00000000-0005-0000-0000-0000E2000000}"/>
    <cellStyle name="40% - Accent1 25" xfId="465" xr:uid="{00000000-0005-0000-0000-0000E3000000}"/>
    <cellStyle name="40% - Accent1 26" xfId="479" xr:uid="{00000000-0005-0000-0000-0000E4000000}"/>
    <cellStyle name="40% - Accent1 27" xfId="493" xr:uid="{00000000-0005-0000-0000-0000E5000000}"/>
    <cellStyle name="40% - Accent1 28" xfId="507" xr:uid="{00000000-0005-0000-0000-0000E6000000}"/>
    <cellStyle name="40% - Accent1 29" xfId="521" xr:uid="{00000000-0005-0000-0000-0000E7000000}"/>
    <cellStyle name="40% - Accent1 3" xfId="130" xr:uid="{00000000-0005-0000-0000-0000E8000000}"/>
    <cellStyle name="40% - Accent1 30" xfId="535" xr:uid="{00000000-0005-0000-0000-0000E9000000}"/>
    <cellStyle name="40% - Accent1 31" xfId="549" xr:uid="{00000000-0005-0000-0000-0000EA000000}"/>
    <cellStyle name="40% - Accent1 32" xfId="563" xr:uid="{00000000-0005-0000-0000-0000EB000000}"/>
    <cellStyle name="40% - Accent1 33" xfId="577" xr:uid="{00000000-0005-0000-0000-0000EC000000}"/>
    <cellStyle name="40% - Accent1 34" xfId="591" xr:uid="{00000000-0005-0000-0000-0000ED000000}"/>
    <cellStyle name="40% - Accent1 35" xfId="606" xr:uid="{00000000-0005-0000-0000-0000EE000000}"/>
    <cellStyle name="40% - Accent1 4" xfId="144" xr:uid="{00000000-0005-0000-0000-0000EF000000}"/>
    <cellStyle name="40% - Accent1 5" xfId="158" xr:uid="{00000000-0005-0000-0000-0000F0000000}"/>
    <cellStyle name="40% - Accent1 6" xfId="172" xr:uid="{00000000-0005-0000-0000-0000F1000000}"/>
    <cellStyle name="40% - Accent1 7" xfId="186" xr:uid="{00000000-0005-0000-0000-0000F2000000}"/>
    <cellStyle name="40% - Accent1 8" xfId="200" xr:uid="{00000000-0005-0000-0000-0000F3000000}"/>
    <cellStyle name="40% - Accent1 9" xfId="214" xr:uid="{00000000-0005-0000-0000-0000F4000000}"/>
    <cellStyle name="40% - Accent2" xfId="8" builtinId="35" customBuiltin="1"/>
    <cellStyle name="40% - Accent2 10" xfId="230" xr:uid="{00000000-0005-0000-0000-0000F6000000}"/>
    <cellStyle name="40% - Accent2 11" xfId="244" xr:uid="{00000000-0005-0000-0000-0000F7000000}"/>
    <cellStyle name="40% - Accent2 12" xfId="276" xr:uid="{00000000-0005-0000-0000-0000F8000000}"/>
    <cellStyle name="40% - Accent2 13" xfId="299" xr:uid="{00000000-0005-0000-0000-0000F9000000}"/>
    <cellStyle name="40% - Accent2 14" xfId="313" xr:uid="{00000000-0005-0000-0000-0000FA000000}"/>
    <cellStyle name="40% - Accent2 15" xfId="327" xr:uid="{00000000-0005-0000-0000-0000FB000000}"/>
    <cellStyle name="40% - Accent2 16" xfId="341" xr:uid="{00000000-0005-0000-0000-0000FC000000}"/>
    <cellStyle name="40% - Accent2 17" xfId="355" xr:uid="{00000000-0005-0000-0000-0000FD000000}"/>
    <cellStyle name="40% - Accent2 18" xfId="369" xr:uid="{00000000-0005-0000-0000-0000FE000000}"/>
    <cellStyle name="40% - Accent2 19" xfId="383" xr:uid="{00000000-0005-0000-0000-0000FF000000}"/>
    <cellStyle name="40% - Accent2 2" xfId="118" xr:uid="{00000000-0005-0000-0000-000000010000}"/>
    <cellStyle name="40% - Accent2 20" xfId="397" xr:uid="{00000000-0005-0000-0000-000001010000}"/>
    <cellStyle name="40% - Accent2 21" xfId="411" xr:uid="{00000000-0005-0000-0000-000002010000}"/>
    <cellStyle name="40% - Accent2 22" xfId="425" xr:uid="{00000000-0005-0000-0000-000003010000}"/>
    <cellStyle name="40% - Accent2 23" xfId="439" xr:uid="{00000000-0005-0000-0000-000004010000}"/>
    <cellStyle name="40% - Accent2 24" xfId="453" xr:uid="{00000000-0005-0000-0000-000005010000}"/>
    <cellStyle name="40% - Accent2 25" xfId="467" xr:uid="{00000000-0005-0000-0000-000006010000}"/>
    <cellStyle name="40% - Accent2 26" xfId="481" xr:uid="{00000000-0005-0000-0000-000007010000}"/>
    <cellStyle name="40% - Accent2 27" xfId="495" xr:uid="{00000000-0005-0000-0000-000008010000}"/>
    <cellStyle name="40% - Accent2 28" xfId="509" xr:uid="{00000000-0005-0000-0000-000009010000}"/>
    <cellStyle name="40% - Accent2 29" xfId="523" xr:uid="{00000000-0005-0000-0000-00000A010000}"/>
    <cellStyle name="40% - Accent2 3" xfId="132" xr:uid="{00000000-0005-0000-0000-00000B010000}"/>
    <cellStyle name="40% - Accent2 30" xfId="537" xr:uid="{00000000-0005-0000-0000-00000C010000}"/>
    <cellStyle name="40% - Accent2 31" xfId="551" xr:uid="{00000000-0005-0000-0000-00000D010000}"/>
    <cellStyle name="40% - Accent2 32" xfId="565" xr:uid="{00000000-0005-0000-0000-00000E010000}"/>
    <cellStyle name="40% - Accent2 33" xfId="579" xr:uid="{00000000-0005-0000-0000-00000F010000}"/>
    <cellStyle name="40% - Accent2 34" xfId="593" xr:uid="{00000000-0005-0000-0000-000010010000}"/>
    <cellStyle name="40% - Accent2 35" xfId="608" xr:uid="{00000000-0005-0000-0000-000011010000}"/>
    <cellStyle name="40% - Accent2 4" xfId="146" xr:uid="{00000000-0005-0000-0000-000012010000}"/>
    <cellStyle name="40% - Accent2 5" xfId="160" xr:uid="{00000000-0005-0000-0000-000013010000}"/>
    <cellStyle name="40% - Accent2 6" xfId="174" xr:uid="{00000000-0005-0000-0000-000014010000}"/>
    <cellStyle name="40% - Accent2 7" xfId="188" xr:uid="{00000000-0005-0000-0000-000015010000}"/>
    <cellStyle name="40% - Accent2 8" xfId="202" xr:uid="{00000000-0005-0000-0000-000016010000}"/>
    <cellStyle name="40% - Accent2 9" xfId="216" xr:uid="{00000000-0005-0000-0000-000017010000}"/>
    <cellStyle name="40% - Accent3" xfId="9" builtinId="39" customBuiltin="1"/>
    <cellStyle name="40% - Accent3 10" xfId="232" xr:uid="{00000000-0005-0000-0000-000019010000}"/>
    <cellStyle name="40% - Accent3 11" xfId="246" xr:uid="{00000000-0005-0000-0000-00001A010000}"/>
    <cellStyle name="40% - Accent3 12" xfId="280" xr:uid="{00000000-0005-0000-0000-00001B010000}"/>
    <cellStyle name="40% - Accent3 13" xfId="301" xr:uid="{00000000-0005-0000-0000-00001C010000}"/>
    <cellStyle name="40% - Accent3 14" xfId="315" xr:uid="{00000000-0005-0000-0000-00001D010000}"/>
    <cellStyle name="40% - Accent3 15" xfId="329" xr:uid="{00000000-0005-0000-0000-00001E010000}"/>
    <cellStyle name="40% - Accent3 16" xfId="343" xr:uid="{00000000-0005-0000-0000-00001F010000}"/>
    <cellStyle name="40% - Accent3 17" xfId="357" xr:uid="{00000000-0005-0000-0000-000020010000}"/>
    <cellStyle name="40% - Accent3 18" xfId="371" xr:uid="{00000000-0005-0000-0000-000021010000}"/>
    <cellStyle name="40% - Accent3 19" xfId="385" xr:uid="{00000000-0005-0000-0000-000022010000}"/>
    <cellStyle name="40% - Accent3 2" xfId="120" xr:uid="{00000000-0005-0000-0000-000023010000}"/>
    <cellStyle name="40% - Accent3 20" xfId="399" xr:uid="{00000000-0005-0000-0000-000024010000}"/>
    <cellStyle name="40% - Accent3 21" xfId="413" xr:uid="{00000000-0005-0000-0000-000025010000}"/>
    <cellStyle name="40% - Accent3 22" xfId="427" xr:uid="{00000000-0005-0000-0000-000026010000}"/>
    <cellStyle name="40% - Accent3 23" xfId="441" xr:uid="{00000000-0005-0000-0000-000027010000}"/>
    <cellStyle name="40% - Accent3 24" xfId="455" xr:uid="{00000000-0005-0000-0000-000028010000}"/>
    <cellStyle name="40% - Accent3 25" xfId="469" xr:uid="{00000000-0005-0000-0000-000029010000}"/>
    <cellStyle name="40% - Accent3 26" xfId="483" xr:uid="{00000000-0005-0000-0000-00002A010000}"/>
    <cellStyle name="40% - Accent3 27" xfId="497" xr:uid="{00000000-0005-0000-0000-00002B010000}"/>
    <cellStyle name="40% - Accent3 28" xfId="511" xr:uid="{00000000-0005-0000-0000-00002C010000}"/>
    <cellStyle name="40% - Accent3 29" xfId="525" xr:uid="{00000000-0005-0000-0000-00002D010000}"/>
    <cellStyle name="40% - Accent3 3" xfId="134" xr:uid="{00000000-0005-0000-0000-00002E010000}"/>
    <cellStyle name="40% - Accent3 30" xfId="539" xr:uid="{00000000-0005-0000-0000-00002F010000}"/>
    <cellStyle name="40% - Accent3 31" xfId="553" xr:uid="{00000000-0005-0000-0000-000030010000}"/>
    <cellStyle name="40% - Accent3 32" xfId="567" xr:uid="{00000000-0005-0000-0000-000031010000}"/>
    <cellStyle name="40% - Accent3 33" xfId="581" xr:uid="{00000000-0005-0000-0000-000032010000}"/>
    <cellStyle name="40% - Accent3 34" xfId="595" xr:uid="{00000000-0005-0000-0000-000033010000}"/>
    <cellStyle name="40% - Accent3 35" xfId="610" xr:uid="{00000000-0005-0000-0000-000034010000}"/>
    <cellStyle name="40% - Accent3 4" xfId="148" xr:uid="{00000000-0005-0000-0000-000035010000}"/>
    <cellStyle name="40% - Accent3 5" xfId="162" xr:uid="{00000000-0005-0000-0000-000036010000}"/>
    <cellStyle name="40% - Accent3 6" xfId="176" xr:uid="{00000000-0005-0000-0000-000037010000}"/>
    <cellStyle name="40% - Accent3 7" xfId="190" xr:uid="{00000000-0005-0000-0000-000038010000}"/>
    <cellStyle name="40% - Accent3 8" xfId="204" xr:uid="{00000000-0005-0000-0000-000039010000}"/>
    <cellStyle name="40% - Accent3 9" xfId="218" xr:uid="{00000000-0005-0000-0000-00003A010000}"/>
    <cellStyle name="40% - Accent4" xfId="10" builtinId="43" customBuiltin="1"/>
    <cellStyle name="40% - Accent4 10" xfId="234" xr:uid="{00000000-0005-0000-0000-00003C010000}"/>
    <cellStyle name="40% - Accent4 11" xfId="248" xr:uid="{00000000-0005-0000-0000-00003D010000}"/>
    <cellStyle name="40% - Accent4 12" xfId="284" xr:uid="{00000000-0005-0000-0000-00003E010000}"/>
    <cellStyle name="40% - Accent4 13" xfId="303" xr:uid="{00000000-0005-0000-0000-00003F010000}"/>
    <cellStyle name="40% - Accent4 14" xfId="317" xr:uid="{00000000-0005-0000-0000-000040010000}"/>
    <cellStyle name="40% - Accent4 15" xfId="331" xr:uid="{00000000-0005-0000-0000-000041010000}"/>
    <cellStyle name="40% - Accent4 16" xfId="345" xr:uid="{00000000-0005-0000-0000-000042010000}"/>
    <cellStyle name="40% - Accent4 17" xfId="359" xr:uid="{00000000-0005-0000-0000-000043010000}"/>
    <cellStyle name="40% - Accent4 18" xfId="373" xr:uid="{00000000-0005-0000-0000-000044010000}"/>
    <cellStyle name="40% - Accent4 19" xfId="387" xr:uid="{00000000-0005-0000-0000-000045010000}"/>
    <cellStyle name="40% - Accent4 2" xfId="122" xr:uid="{00000000-0005-0000-0000-000046010000}"/>
    <cellStyle name="40% - Accent4 20" xfId="401" xr:uid="{00000000-0005-0000-0000-000047010000}"/>
    <cellStyle name="40% - Accent4 21" xfId="415" xr:uid="{00000000-0005-0000-0000-000048010000}"/>
    <cellStyle name="40% - Accent4 22" xfId="429" xr:uid="{00000000-0005-0000-0000-000049010000}"/>
    <cellStyle name="40% - Accent4 23" xfId="443" xr:uid="{00000000-0005-0000-0000-00004A010000}"/>
    <cellStyle name="40% - Accent4 24" xfId="457" xr:uid="{00000000-0005-0000-0000-00004B010000}"/>
    <cellStyle name="40% - Accent4 25" xfId="471" xr:uid="{00000000-0005-0000-0000-00004C010000}"/>
    <cellStyle name="40% - Accent4 26" xfId="485" xr:uid="{00000000-0005-0000-0000-00004D010000}"/>
    <cellStyle name="40% - Accent4 27" xfId="499" xr:uid="{00000000-0005-0000-0000-00004E010000}"/>
    <cellStyle name="40% - Accent4 28" xfId="513" xr:uid="{00000000-0005-0000-0000-00004F010000}"/>
    <cellStyle name="40% - Accent4 29" xfId="527" xr:uid="{00000000-0005-0000-0000-000050010000}"/>
    <cellStyle name="40% - Accent4 3" xfId="136" xr:uid="{00000000-0005-0000-0000-000051010000}"/>
    <cellStyle name="40% - Accent4 30" xfId="541" xr:uid="{00000000-0005-0000-0000-000052010000}"/>
    <cellStyle name="40% - Accent4 31" xfId="555" xr:uid="{00000000-0005-0000-0000-000053010000}"/>
    <cellStyle name="40% - Accent4 32" xfId="569" xr:uid="{00000000-0005-0000-0000-000054010000}"/>
    <cellStyle name="40% - Accent4 33" xfId="583" xr:uid="{00000000-0005-0000-0000-000055010000}"/>
    <cellStyle name="40% - Accent4 34" xfId="597" xr:uid="{00000000-0005-0000-0000-000056010000}"/>
    <cellStyle name="40% - Accent4 35" xfId="612" xr:uid="{00000000-0005-0000-0000-000057010000}"/>
    <cellStyle name="40% - Accent4 4" xfId="150" xr:uid="{00000000-0005-0000-0000-000058010000}"/>
    <cellStyle name="40% - Accent4 5" xfId="164" xr:uid="{00000000-0005-0000-0000-000059010000}"/>
    <cellStyle name="40% - Accent4 6" xfId="178" xr:uid="{00000000-0005-0000-0000-00005A010000}"/>
    <cellStyle name="40% - Accent4 7" xfId="192" xr:uid="{00000000-0005-0000-0000-00005B010000}"/>
    <cellStyle name="40% - Accent4 8" xfId="206" xr:uid="{00000000-0005-0000-0000-00005C010000}"/>
    <cellStyle name="40% - Accent4 9" xfId="220" xr:uid="{00000000-0005-0000-0000-00005D010000}"/>
    <cellStyle name="40% - Accent5" xfId="11" builtinId="47" customBuiltin="1"/>
    <cellStyle name="40% - Accent5 10" xfId="236" xr:uid="{00000000-0005-0000-0000-00005F010000}"/>
    <cellStyle name="40% - Accent5 11" xfId="250" xr:uid="{00000000-0005-0000-0000-000060010000}"/>
    <cellStyle name="40% - Accent5 12" xfId="288" xr:uid="{00000000-0005-0000-0000-000061010000}"/>
    <cellStyle name="40% - Accent5 13" xfId="305" xr:uid="{00000000-0005-0000-0000-000062010000}"/>
    <cellStyle name="40% - Accent5 14" xfId="319" xr:uid="{00000000-0005-0000-0000-000063010000}"/>
    <cellStyle name="40% - Accent5 15" xfId="333" xr:uid="{00000000-0005-0000-0000-000064010000}"/>
    <cellStyle name="40% - Accent5 16" xfId="347" xr:uid="{00000000-0005-0000-0000-000065010000}"/>
    <cellStyle name="40% - Accent5 17" xfId="361" xr:uid="{00000000-0005-0000-0000-000066010000}"/>
    <cellStyle name="40% - Accent5 18" xfId="375" xr:uid="{00000000-0005-0000-0000-000067010000}"/>
    <cellStyle name="40% - Accent5 19" xfId="389" xr:uid="{00000000-0005-0000-0000-000068010000}"/>
    <cellStyle name="40% - Accent5 2" xfId="124" xr:uid="{00000000-0005-0000-0000-000069010000}"/>
    <cellStyle name="40% - Accent5 20" xfId="403" xr:uid="{00000000-0005-0000-0000-00006A010000}"/>
    <cellStyle name="40% - Accent5 21" xfId="417" xr:uid="{00000000-0005-0000-0000-00006B010000}"/>
    <cellStyle name="40% - Accent5 22" xfId="431" xr:uid="{00000000-0005-0000-0000-00006C010000}"/>
    <cellStyle name="40% - Accent5 23" xfId="445" xr:uid="{00000000-0005-0000-0000-00006D010000}"/>
    <cellStyle name="40% - Accent5 24" xfId="459" xr:uid="{00000000-0005-0000-0000-00006E010000}"/>
    <cellStyle name="40% - Accent5 25" xfId="473" xr:uid="{00000000-0005-0000-0000-00006F010000}"/>
    <cellStyle name="40% - Accent5 26" xfId="487" xr:uid="{00000000-0005-0000-0000-000070010000}"/>
    <cellStyle name="40% - Accent5 27" xfId="501" xr:uid="{00000000-0005-0000-0000-000071010000}"/>
    <cellStyle name="40% - Accent5 28" xfId="515" xr:uid="{00000000-0005-0000-0000-000072010000}"/>
    <cellStyle name="40% - Accent5 29" xfId="529" xr:uid="{00000000-0005-0000-0000-000073010000}"/>
    <cellStyle name="40% - Accent5 3" xfId="138" xr:uid="{00000000-0005-0000-0000-000074010000}"/>
    <cellStyle name="40% - Accent5 30" xfId="543" xr:uid="{00000000-0005-0000-0000-000075010000}"/>
    <cellStyle name="40% - Accent5 31" xfId="557" xr:uid="{00000000-0005-0000-0000-000076010000}"/>
    <cellStyle name="40% - Accent5 32" xfId="571" xr:uid="{00000000-0005-0000-0000-000077010000}"/>
    <cellStyle name="40% - Accent5 33" xfId="585" xr:uid="{00000000-0005-0000-0000-000078010000}"/>
    <cellStyle name="40% - Accent5 34" xfId="599" xr:uid="{00000000-0005-0000-0000-000079010000}"/>
    <cellStyle name="40% - Accent5 35" xfId="614" xr:uid="{00000000-0005-0000-0000-00007A010000}"/>
    <cellStyle name="40% - Accent5 4" xfId="152" xr:uid="{00000000-0005-0000-0000-00007B010000}"/>
    <cellStyle name="40% - Accent5 5" xfId="166" xr:uid="{00000000-0005-0000-0000-00007C010000}"/>
    <cellStyle name="40% - Accent5 6" xfId="180" xr:uid="{00000000-0005-0000-0000-00007D010000}"/>
    <cellStyle name="40% - Accent5 7" xfId="194" xr:uid="{00000000-0005-0000-0000-00007E010000}"/>
    <cellStyle name="40% - Accent5 8" xfId="208" xr:uid="{00000000-0005-0000-0000-00007F010000}"/>
    <cellStyle name="40% - Accent5 9" xfId="222" xr:uid="{00000000-0005-0000-0000-000080010000}"/>
    <cellStyle name="40% - Accent6" xfId="12" builtinId="51" customBuiltin="1"/>
    <cellStyle name="40% - Accent6 10" xfId="238" xr:uid="{00000000-0005-0000-0000-000082010000}"/>
    <cellStyle name="40% - Accent6 11" xfId="252" xr:uid="{00000000-0005-0000-0000-000083010000}"/>
    <cellStyle name="40% - Accent6 12" xfId="292" xr:uid="{00000000-0005-0000-0000-000084010000}"/>
    <cellStyle name="40% - Accent6 13" xfId="307" xr:uid="{00000000-0005-0000-0000-000085010000}"/>
    <cellStyle name="40% - Accent6 14" xfId="321" xr:uid="{00000000-0005-0000-0000-000086010000}"/>
    <cellStyle name="40% - Accent6 15" xfId="335" xr:uid="{00000000-0005-0000-0000-000087010000}"/>
    <cellStyle name="40% - Accent6 16" xfId="349" xr:uid="{00000000-0005-0000-0000-000088010000}"/>
    <cellStyle name="40% - Accent6 17" xfId="363" xr:uid="{00000000-0005-0000-0000-000089010000}"/>
    <cellStyle name="40% - Accent6 18" xfId="377" xr:uid="{00000000-0005-0000-0000-00008A010000}"/>
    <cellStyle name="40% - Accent6 19" xfId="391" xr:uid="{00000000-0005-0000-0000-00008B010000}"/>
    <cellStyle name="40% - Accent6 2" xfId="126" xr:uid="{00000000-0005-0000-0000-00008C010000}"/>
    <cellStyle name="40% - Accent6 20" xfId="405" xr:uid="{00000000-0005-0000-0000-00008D010000}"/>
    <cellStyle name="40% - Accent6 21" xfId="419" xr:uid="{00000000-0005-0000-0000-00008E010000}"/>
    <cellStyle name="40% - Accent6 22" xfId="433" xr:uid="{00000000-0005-0000-0000-00008F010000}"/>
    <cellStyle name="40% - Accent6 23" xfId="447" xr:uid="{00000000-0005-0000-0000-000090010000}"/>
    <cellStyle name="40% - Accent6 24" xfId="461" xr:uid="{00000000-0005-0000-0000-000091010000}"/>
    <cellStyle name="40% - Accent6 25" xfId="475" xr:uid="{00000000-0005-0000-0000-000092010000}"/>
    <cellStyle name="40% - Accent6 26" xfId="489" xr:uid="{00000000-0005-0000-0000-000093010000}"/>
    <cellStyle name="40% - Accent6 27" xfId="503" xr:uid="{00000000-0005-0000-0000-000094010000}"/>
    <cellStyle name="40% - Accent6 28" xfId="517" xr:uid="{00000000-0005-0000-0000-000095010000}"/>
    <cellStyle name="40% - Accent6 29" xfId="531" xr:uid="{00000000-0005-0000-0000-000096010000}"/>
    <cellStyle name="40% - Accent6 3" xfId="140" xr:uid="{00000000-0005-0000-0000-000097010000}"/>
    <cellStyle name="40% - Accent6 30" xfId="545" xr:uid="{00000000-0005-0000-0000-000098010000}"/>
    <cellStyle name="40% - Accent6 31" xfId="559" xr:uid="{00000000-0005-0000-0000-000099010000}"/>
    <cellStyle name="40% - Accent6 32" xfId="573" xr:uid="{00000000-0005-0000-0000-00009A010000}"/>
    <cellStyle name="40% - Accent6 33" xfId="587" xr:uid="{00000000-0005-0000-0000-00009B010000}"/>
    <cellStyle name="40% - Accent6 34" xfId="601" xr:uid="{00000000-0005-0000-0000-00009C010000}"/>
    <cellStyle name="40% - Accent6 35" xfId="616" xr:uid="{00000000-0005-0000-0000-00009D010000}"/>
    <cellStyle name="40% - Accent6 4" xfId="154" xr:uid="{00000000-0005-0000-0000-00009E010000}"/>
    <cellStyle name="40% - Accent6 5" xfId="168" xr:uid="{00000000-0005-0000-0000-00009F010000}"/>
    <cellStyle name="40% - Accent6 6" xfId="182" xr:uid="{00000000-0005-0000-0000-0000A0010000}"/>
    <cellStyle name="40% - Accent6 7" xfId="196" xr:uid="{00000000-0005-0000-0000-0000A1010000}"/>
    <cellStyle name="40% - Accent6 8" xfId="210" xr:uid="{00000000-0005-0000-0000-0000A2010000}"/>
    <cellStyle name="40% - Accent6 9" xfId="224" xr:uid="{00000000-0005-0000-0000-0000A3010000}"/>
    <cellStyle name="60% - Accent1" xfId="13" builtinId="32" customBuiltin="1"/>
    <cellStyle name="60% - Accent1 2" xfId="273" xr:uid="{00000000-0005-0000-0000-0000A5010000}"/>
    <cellStyle name="60% - Accent2" xfId="14" builtinId="36" customBuiltin="1"/>
    <cellStyle name="60% - Accent2 2" xfId="277" xr:uid="{00000000-0005-0000-0000-0000A7010000}"/>
    <cellStyle name="60% - Accent3" xfId="15" builtinId="40" customBuiltin="1"/>
    <cellStyle name="60% - Accent3 2" xfId="281" xr:uid="{00000000-0005-0000-0000-0000A9010000}"/>
    <cellStyle name="60% - Accent4" xfId="16" builtinId="44" customBuiltin="1"/>
    <cellStyle name="60% - Accent4 2" xfId="285" xr:uid="{00000000-0005-0000-0000-0000AB010000}"/>
    <cellStyle name="60% - Accent5" xfId="17" builtinId="48" customBuiltin="1"/>
    <cellStyle name="60% - Accent5 2" xfId="289" xr:uid="{00000000-0005-0000-0000-0000AD010000}"/>
    <cellStyle name="60% - Accent6" xfId="18" builtinId="52" customBuiltin="1"/>
    <cellStyle name="60% - Accent6 2" xfId="293" xr:uid="{00000000-0005-0000-0000-0000AF010000}"/>
    <cellStyle name="Accent1" xfId="19" builtinId="29" customBuiltin="1"/>
    <cellStyle name="Accent1 2" xfId="270" xr:uid="{00000000-0005-0000-0000-0000B1010000}"/>
    <cellStyle name="Accent2" xfId="20" builtinId="33" customBuiltin="1"/>
    <cellStyle name="Accent2 2" xfId="274" xr:uid="{00000000-0005-0000-0000-0000B3010000}"/>
    <cellStyle name="Accent3" xfId="21" builtinId="37" customBuiltin="1"/>
    <cellStyle name="Accent3 2" xfId="278" xr:uid="{00000000-0005-0000-0000-0000B5010000}"/>
    <cellStyle name="Accent4" xfId="22" builtinId="41" customBuiltin="1"/>
    <cellStyle name="Accent4 2" xfId="282" xr:uid="{00000000-0005-0000-0000-0000B7010000}"/>
    <cellStyle name="Accent5" xfId="23" builtinId="45" customBuiltin="1"/>
    <cellStyle name="Accent5 2" xfId="286" xr:uid="{00000000-0005-0000-0000-0000B9010000}"/>
    <cellStyle name="Accent6" xfId="24" builtinId="49" customBuiltin="1"/>
    <cellStyle name="Accent6 2" xfId="290" xr:uid="{00000000-0005-0000-0000-0000BB010000}"/>
    <cellStyle name="Bad" xfId="25" builtinId="27" customBuiltin="1"/>
    <cellStyle name="Bad 2" xfId="259" xr:uid="{00000000-0005-0000-0000-0000BD010000}"/>
    <cellStyle name="Calculation" xfId="26" builtinId="22" customBuiltin="1"/>
    <cellStyle name="Calculation 2" xfId="263" xr:uid="{00000000-0005-0000-0000-0000BF010000}"/>
    <cellStyle name="Check Cell" xfId="27" builtinId="23" customBuiltin="1"/>
    <cellStyle name="Check Cell 2" xfId="265" xr:uid="{00000000-0005-0000-0000-0000C1010000}"/>
    <cellStyle name="Explanatory Text" xfId="28" builtinId="53" customBuiltin="1"/>
    <cellStyle name="Explanatory Text 2" xfId="268" xr:uid="{00000000-0005-0000-0000-0000C3010000}"/>
    <cellStyle name="Good" xfId="29" builtinId="26" customBuiltin="1"/>
    <cellStyle name="Good 2" xfId="258" xr:uid="{00000000-0005-0000-0000-0000C5010000}"/>
    <cellStyle name="Heading 1" xfId="30" builtinId="16" customBuiltin="1"/>
    <cellStyle name="Heading 1 2" xfId="254" xr:uid="{00000000-0005-0000-0000-0000C7010000}"/>
    <cellStyle name="Heading 2" xfId="31" builtinId="17" customBuiltin="1"/>
    <cellStyle name="Heading 2 2" xfId="255" xr:uid="{00000000-0005-0000-0000-0000C9010000}"/>
    <cellStyle name="Heading 3" xfId="32" builtinId="18" customBuiltin="1"/>
    <cellStyle name="Heading 3 2" xfId="256" xr:uid="{00000000-0005-0000-0000-0000CB010000}"/>
    <cellStyle name="Heading 4" xfId="33" builtinId="19" customBuiltin="1"/>
    <cellStyle name="Heading 4 2" xfId="257" xr:uid="{00000000-0005-0000-0000-0000CD010000}"/>
    <cellStyle name="Input" xfId="34" builtinId="20" customBuiltin="1"/>
    <cellStyle name="Input 2" xfId="261" xr:uid="{00000000-0005-0000-0000-0000CF010000}"/>
    <cellStyle name="Linked Cell" xfId="35" builtinId="24" customBuiltin="1"/>
    <cellStyle name="Linked Cell 2" xfId="264" xr:uid="{00000000-0005-0000-0000-0000D1010000}"/>
    <cellStyle name="Neutral" xfId="36" builtinId="28" customBuiltin="1"/>
    <cellStyle name="Neutral 2" xfId="260" xr:uid="{00000000-0005-0000-0000-0000D3010000}"/>
    <cellStyle name="Normal" xfId="0" builtinId="0"/>
    <cellStyle name="Normal 10" xfId="225" xr:uid="{00000000-0005-0000-0000-0000D5010000}"/>
    <cellStyle name="Normal 11" xfId="239" xr:uid="{00000000-0005-0000-0000-0000D6010000}"/>
    <cellStyle name="Normal 12" xfId="253" xr:uid="{00000000-0005-0000-0000-0000D7010000}"/>
    <cellStyle name="Normal 13" xfId="294" xr:uid="{00000000-0005-0000-0000-0000D8010000}"/>
    <cellStyle name="Normal 14" xfId="308" xr:uid="{00000000-0005-0000-0000-0000D9010000}"/>
    <cellStyle name="Normal 15" xfId="322" xr:uid="{00000000-0005-0000-0000-0000DA010000}"/>
    <cellStyle name="Normal 16" xfId="336" xr:uid="{00000000-0005-0000-0000-0000DB010000}"/>
    <cellStyle name="Normal 17" xfId="350" xr:uid="{00000000-0005-0000-0000-0000DC010000}"/>
    <cellStyle name="Normal 18" xfId="364" xr:uid="{00000000-0005-0000-0000-0000DD010000}"/>
    <cellStyle name="Normal 19" xfId="378" xr:uid="{00000000-0005-0000-0000-0000DE010000}"/>
    <cellStyle name="Normal 2" xfId="113" xr:uid="{00000000-0005-0000-0000-0000DF010000}"/>
    <cellStyle name="Normal 20" xfId="392" xr:uid="{00000000-0005-0000-0000-0000E0010000}"/>
    <cellStyle name="Normal 21" xfId="406" xr:uid="{00000000-0005-0000-0000-0000E1010000}"/>
    <cellStyle name="Normal 22" xfId="420" xr:uid="{00000000-0005-0000-0000-0000E2010000}"/>
    <cellStyle name="Normal 23" xfId="434" xr:uid="{00000000-0005-0000-0000-0000E3010000}"/>
    <cellStyle name="Normal 24" xfId="448" xr:uid="{00000000-0005-0000-0000-0000E4010000}"/>
    <cellStyle name="Normal 25" xfId="462" xr:uid="{00000000-0005-0000-0000-0000E5010000}"/>
    <cellStyle name="Normal 26" xfId="476" xr:uid="{00000000-0005-0000-0000-0000E6010000}"/>
    <cellStyle name="Normal 27" xfId="490" xr:uid="{00000000-0005-0000-0000-0000E7010000}"/>
    <cellStyle name="Normal 28" xfId="504" xr:uid="{00000000-0005-0000-0000-0000E8010000}"/>
    <cellStyle name="Normal 29" xfId="518" xr:uid="{00000000-0005-0000-0000-0000E9010000}"/>
    <cellStyle name="Normal 3" xfId="127" xr:uid="{00000000-0005-0000-0000-0000EA010000}"/>
    <cellStyle name="Normal 30" xfId="37" xr:uid="{00000000-0005-0000-0000-0000EB010000}"/>
    <cellStyle name="Normal 31" xfId="38" xr:uid="{00000000-0005-0000-0000-0000EC010000}"/>
    <cellStyle name="Normal 32" xfId="532" xr:uid="{00000000-0005-0000-0000-0000ED010000}"/>
    <cellStyle name="Normal 33" xfId="546" xr:uid="{00000000-0005-0000-0000-0000EE010000}"/>
    <cellStyle name="Normal 34" xfId="560" xr:uid="{00000000-0005-0000-0000-0000EF010000}"/>
    <cellStyle name="Normal 35" xfId="574" xr:uid="{00000000-0005-0000-0000-0000F0010000}"/>
    <cellStyle name="Normal 36" xfId="588" xr:uid="{00000000-0005-0000-0000-0000F1010000}"/>
    <cellStyle name="Normal 37" xfId="602" xr:uid="{00000000-0005-0000-0000-0000F2010000}"/>
    <cellStyle name="Normal 4" xfId="141" xr:uid="{00000000-0005-0000-0000-0000F3010000}"/>
    <cellStyle name="Normal 5" xfId="155" xr:uid="{00000000-0005-0000-0000-0000F4010000}"/>
    <cellStyle name="Normal 53" xfId="39" xr:uid="{00000000-0005-0000-0000-0000F5010000}"/>
    <cellStyle name="Normal 58" xfId="40" xr:uid="{00000000-0005-0000-0000-0000F6010000}"/>
    <cellStyle name="Normal 59" xfId="41" xr:uid="{00000000-0005-0000-0000-0000F7010000}"/>
    <cellStyle name="Normal 6" xfId="169" xr:uid="{00000000-0005-0000-0000-0000F8010000}"/>
    <cellStyle name="Normal 61" xfId="42" xr:uid="{00000000-0005-0000-0000-0000F9010000}"/>
    <cellStyle name="Normal 66" xfId="43" xr:uid="{00000000-0005-0000-0000-0000FA010000}"/>
    <cellStyle name="Normal 7" xfId="183" xr:uid="{00000000-0005-0000-0000-0000FB010000}"/>
    <cellStyle name="Normal 8" xfId="197" xr:uid="{00000000-0005-0000-0000-0000FC010000}"/>
    <cellStyle name="Normal 9" xfId="211" xr:uid="{00000000-0005-0000-0000-0000FD010000}"/>
    <cellStyle name="Note 10" xfId="44" xr:uid="{00000000-0005-0000-0000-0000FE010000}"/>
    <cellStyle name="Note 100" xfId="604" xr:uid="{00000000-0005-0000-0000-0000FF010000}"/>
    <cellStyle name="Note 11" xfId="45" xr:uid="{00000000-0005-0000-0000-000000020000}"/>
    <cellStyle name="Note 12" xfId="46" xr:uid="{00000000-0005-0000-0000-000001020000}"/>
    <cellStyle name="Note 13" xfId="47" xr:uid="{00000000-0005-0000-0000-000002020000}"/>
    <cellStyle name="Note 14" xfId="48" xr:uid="{00000000-0005-0000-0000-000003020000}"/>
    <cellStyle name="Note 15" xfId="49" xr:uid="{00000000-0005-0000-0000-000004020000}"/>
    <cellStyle name="Note 16" xfId="50" xr:uid="{00000000-0005-0000-0000-000005020000}"/>
    <cellStyle name="Note 17" xfId="51" xr:uid="{00000000-0005-0000-0000-000006020000}"/>
    <cellStyle name="Note 18" xfId="52" xr:uid="{00000000-0005-0000-0000-000007020000}"/>
    <cellStyle name="Note 19" xfId="53" xr:uid="{00000000-0005-0000-0000-000008020000}"/>
    <cellStyle name="Note 2" xfId="54" xr:uid="{00000000-0005-0000-0000-000009020000}"/>
    <cellStyle name="Note 20" xfId="55" xr:uid="{00000000-0005-0000-0000-00000A020000}"/>
    <cellStyle name="Note 21" xfId="56" xr:uid="{00000000-0005-0000-0000-00000B020000}"/>
    <cellStyle name="Note 22" xfId="57" xr:uid="{00000000-0005-0000-0000-00000C020000}"/>
    <cellStyle name="Note 23" xfId="58" xr:uid="{00000000-0005-0000-0000-00000D020000}"/>
    <cellStyle name="Note 24" xfId="59" xr:uid="{00000000-0005-0000-0000-00000E020000}"/>
    <cellStyle name="Note 25" xfId="60" xr:uid="{00000000-0005-0000-0000-00000F020000}"/>
    <cellStyle name="Note 26" xfId="61" xr:uid="{00000000-0005-0000-0000-000010020000}"/>
    <cellStyle name="Note 27" xfId="62" xr:uid="{00000000-0005-0000-0000-000011020000}"/>
    <cellStyle name="Note 28" xfId="63" xr:uid="{00000000-0005-0000-0000-000012020000}"/>
    <cellStyle name="Note 29" xfId="64" xr:uid="{00000000-0005-0000-0000-000013020000}"/>
    <cellStyle name="Note 3" xfId="65" xr:uid="{00000000-0005-0000-0000-000014020000}"/>
    <cellStyle name="Note 30" xfId="66" xr:uid="{00000000-0005-0000-0000-000015020000}"/>
    <cellStyle name="Note 31" xfId="67" xr:uid="{00000000-0005-0000-0000-000016020000}"/>
    <cellStyle name="Note 32" xfId="68" xr:uid="{00000000-0005-0000-0000-000017020000}"/>
    <cellStyle name="Note 33" xfId="69" xr:uid="{00000000-0005-0000-0000-000018020000}"/>
    <cellStyle name="Note 34" xfId="70" xr:uid="{00000000-0005-0000-0000-000019020000}"/>
    <cellStyle name="Note 35" xfId="71" xr:uid="{00000000-0005-0000-0000-00001A020000}"/>
    <cellStyle name="Note 36" xfId="72" xr:uid="{00000000-0005-0000-0000-00001B020000}"/>
    <cellStyle name="Note 37" xfId="73" xr:uid="{00000000-0005-0000-0000-00001C020000}"/>
    <cellStyle name="Note 38" xfId="74" xr:uid="{00000000-0005-0000-0000-00001D020000}"/>
    <cellStyle name="Note 39" xfId="75" xr:uid="{00000000-0005-0000-0000-00001E020000}"/>
    <cellStyle name="Note 4" xfId="76" xr:uid="{00000000-0005-0000-0000-00001F020000}"/>
    <cellStyle name="Note 40" xfId="77" xr:uid="{00000000-0005-0000-0000-000020020000}"/>
    <cellStyle name="Note 41" xfId="78" xr:uid="{00000000-0005-0000-0000-000021020000}"/>
    <cellStyle name="Note 42" xfId="79" xr:uid="{00000000-0005-0000-0000-000022020000}"/>
    <cellStyle name="Note 43" xfId="80" xr:uid="{00000000-0005-0000-0000-000023020000}"/>
    <cellStyle name="Note 44" xfId="81" xr:uid="{00000000-0005-0000-0000-000024020000}"/>
    <cellStyle name="Note 45" xfId="82" xr:uid="{00000000-0005-0000-0000-000025020000}"/>
    <cellStyle name="Note 46" xfId="83" xr:uid="{00000000-0005-0000-0000-000026020000}"/>
    <cellStyle name="Note 47" xfId="84" xr:uid="{00000000-0005-0000-0000-000027020000}"/>
    <cellStyle name="Note 48" xfId="85" xr:uid="{00000000-0005-0000-0000-000028020000}"/>
    <cellStyle name="Note 49" xfId="86" xr:uid="{00000000-0005-0000-0000-000029020000}"/>
    <cellStyle name="Note 5" xfId="87" xr:uid="{00000000-0005-0000-0000-00002A020000}"/>
    <cellStyle name="Note 50" xfId="88" xr:uid="{00000000-0005-0000-0000-00002B020000}"/>
    <cellStyle name="Note 51" xfId="89" xr:uid="{00000000-0005-0000-0000-00002C020000}"/>
    <cellStyle name="Note 52" xfId="90" xr:uid="{00000000-0005-0000-0000-00002D020000}"/>
    <cellStyle name="Note 53" xfId="91" xr:uid="{00000000-0005-0000-0000-00002E020000}"/>
    <cellStyle name="Note 54" xfId="92" xr:uid="{00000000-0005-0000-0000-00002F020000}"/>
    <cellStyle name="Note 55" xfId="93" xr:uid="{00000000-0005-0000-0000-000030020000}"/>
    <cellStyle name="Note 56" xfId="94" xr:uid="{00000000-0005-0000-0000-000031020000}"/>
    <cellStyle name="Note 57" xfId="95" xr:uid="{00000000-0005-0000-0000-000032020000}"/>
    <cellStyle name="Note 58" xfId="96" xr:uid="{00000000-0005-0000-0000-000033020000}"/>
    <cellStyle name="Note 59" xfId="97" xr:uid="{00000000-0005-0000-0000-000034020000}"/>
    <cellStyle name="Note 6" xfId="98" xr:uid="{00000000-0005-0000-0000-000035020000}"/>
    <cellStyle name="Note 60" xfId="99" xr:uid="{00000000-0005-0000-0000-000036020000}"/>
    <cellStyle name="Note 61" xfId="100" xr:uid="{00000000-0005-0000-0000-000037020000}"/>
    <cellStyle name="Note 62" xfId="101" xr:uid="{00000000-0005-0000-0000-000038020000}"/>
    <cellStyle name="Note 63" xfId="102" xr:uid="{00000000-0005-0000-0000-000039020000}"/>
    <cellStyle name="Note 64" xfId="103" xr:uid="{00000000-0005-0000-0000-00003A020000}"/>
    <cellStyle name="Note 65" xfId="104" xr:uid="{00000000-0005-0000-0000-00003B020000}"/>
    <cellStyle name="Note 66" xfId="105" xr:uid="{00000000-0005-0000-0000-00003C020000}"/>
    <cellStyle name="Note 67" xfId="114" xr:uid="{00000000-0005-0000-0000-00003D020000}"/>
    <cellStyle name="Note 68" xfId="128" xr:uid="{00000000-0005-0000-0000-00003E020000}"/>
    <cellStyle name="Note 69" xfId="142" xr:uid="{00000000-0005-0000-0000-00003F020000}"/>
    <cellStyle name="Note 7" xfId="106" xr:uid="{00000000-0005-0000-0000-000040020000}"/>
    <cellStyle name="Note 70" xfId="156" xr:uid="{00000000-0005-0000-0000-000041020000}"/>
    <cellStyle name="Note 71" xfId="170" xr:uid="{00000000-0005-0000-0000-000042020000}"/>
    <cellStyle name="Note 72" xfId="184" xr:uid="{00000000-0005-0000-0000-000043020000}"/>
    <cellStyle name="Note 73" xfId="198" xr:uid="{00000000-0005-0000-0000-000044020000}"/>
    <cellStyle name="Note 74" xfId="212" xr:uid="{00000000-0005-0000-0000-000045020000}"/>
    <cellStyle name="Note 75" xfId="226" xr:uid="{00000000-0005-0000-0000-000046020000}"/>
    <cellStyle name="Note 76" xfId="240" xr:uid="{00000000-0005-0000-0000-000047020000}"/>
    <cellStyle name="Note 77" xfId="267" xr:uid="{00000000-0005-0000-0000-000048020000}"/>
    <cellStyle name="Note 78" xfId="295" xr:uid="{00000000-0005-0000-0000-000049020000}"/>
    <cellStyle name="Note 79" xfId="309" xr:uid="{00000000-0005-0000-0000-00004A020000}"/>
    <cellStyle name="Note 8" xfId="107" xr:uid="{00000000-0005-0000-0000-00004B020000}"/>
    <cellStyle name="Note 80" xfId="323" xr:uid="{00000000-0005-0000-0000-00004C020000}"/>
    <cellStyle name="Note 81" xfId="337" xr:uid="{00000000-0005-0000-0000-00004D020000}"/>
    <cellStyle name="Note 82" xfId="351" xr:uid="{00000000-0005-0000-0000-00004E020000}"/>
    <cellStyle name="Note 83" xfId="365" xr:uid="{00000000-0005-0000-0000-00004F020000}"/>
    <cellStyle name="Note 84" xfId="379" xr:uid="{00000000-0005-0000-0000-000050020000}"/>
    <cellStyle name="Note 85" xfId="393" xr:uid="{00000000-0005-0000-0000-000051020000}"/>
    <cellStyle name="Note 86" xfId="407" xr:uid="{00000000-0005-0000-0000-000052020000}"/>
    <cellStyle name="Note 87" xfId="421" xr:uid="{00000000-0005-0000-0000-000053020000}"/>
    <cellStyle name="Note 88" xfId="435" xr:uid="{00000000-0005-0000-0000-000054020000}"/>
    <cellStyle name="Note 89" xfId="449" xr:uid="{00000000-0005-0000-0000-000055020000}"/>
    <cellStyle name="Note 9" xfId="108" xr:uid="{00000000-0005-0000-0000-000056020000}"/>
    <cellStyle name="Note 90" xfId="463" xr:uid="{00000000-0005-0000-0000-000057020000}"/>
    <cellStyle name="Note 91" xfId="477" xr:uid="{00000000-0005-0000-0000-000058020000}"/>
    <cellStyle name="Note 92" xfId="491" xr:uid="{00000000-0005-0000-0000-000059020000}"/>
    <cellStyle name="Note 93" xfId="505" xr:uid="{00000000-0005-0000-0000-00005A020000}"/>
    <cellStyle name="Note 94" xfId="519" xr:uid="{00000000-0005-0000-0000-00005B020000}"/>
    <cellStyle name="Note 95" xfId="533" xr:uid="{00000000-0005-0000-0000-00005C020000}"/>
    <cellStyle name="Note 96" xfId="547" xr:uid="{00000000-0005-0000-0000-00005D020000}"/>
    <cellStyle name="Note 97" xfId="561" xr:uid="{00000000-0005-0000-0000-00005E020000}"/>
    <cellStyle name="Note 98" xfId="575" xr:uid="{00000000-0005-0000-0000-00005F020000}"/>
    <cellStyle name="Note 99" xfId="589" xr:uid="{00000000-0005-0000-0000-000060020000}"/>
    <cellStyle name="Output" xfId="109" builtinId="21" customBuiltin="1"/>
    <cellStyle name="Output 2" xfId="262" xr:uid="{00000000-0005-0000-0000-000062020000}"/>
    <cellStyle name="Title" xfId="110" builtinId="15" customBuiltin="1"/>
    <cellStyle name="Title 2" xfId="603" xr:uid="{00000000-0005-0000-0000-000064020000}"/>
    <cellStyle name="Total" xfId="111" builtinId="25" customBuiltin="1"/>
    <cellStyle name="Total 2" xfId="269" xr:uid="{00000000-0005-0000-0000-000066020000}"/>
    <cellStyle name="Warning Text" xfId="112" builtinId="11" customBuiltin="1"/>
    <cellStyle name="Warning Text 2" xfId="266" xr:uid="{00000000-0005-0000-0000-00006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8"/>
  <sheetViews>
    <sheetView tabSelected="1" zoomScale="90" zoomScaleNormal="90" zoomScaleSheetLayoutView="100" zoomScalePageLayoutView="70" workbookViewId="0">
      <pane ySplit="2" topLeftCell="A3" activePane="bottomLeft" state="frozen"/>
      <selection pane="bottomLeft"/>
    </sheetView>
  </sheetViews>
  <sheetFormatPr defaultColWidth="9.140625" defaultRowHeight="15" x14ac:dyDescent="0.2"/>
  <cols>
    <col min="1" max="1" width="13.140625" style="7" customWidth="1"/>
    <col min="2" max="2" width="10.5703125" style="69" bestFit="1" customWidth="1"/>
    <col min="3" max="3" width="12.85546875" style="69" customWidth="1"/>
    <col min="4" max="4" width="9.28515625" style="69" customWidth="1"/>
    <col min="5" max="6" width="14" style="19" customWidth="1"/>
    <col min="7" max="7" width="53.5703125" style="7" bestFit="1" customWidth="1"/>
    <col min="8" max="8" width="34.28515625" style="8" bestFit="1" customWidth="1"/>
    <col min="9" max="9" width="15" style="20" customWidth="1"/>
    <col min="10" max="10" width="14.140625" style="20" customWidth="1"/>
    <col min="11" max="11" width="14.28515625" style="20" customWidth="1"/>
    <col min="12" max="12" width="17" style="20" customWidth="1"/>
    <col min="13" max="15" width="9.140625" style="7"/>
    <col min="16" max="16" width="14.140625" style="7" bestFit="1" customWidth="1"/>
    <col min="17" max="16384" width="9.140625" style="7"/>
  </cols>
  <sheetData>
    <row r="1" spans="1:16" ht="30" customHeight="1" x14ac:dyDescent="0.2">
      <c r="A1" s="12" t="s">
        <v>234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30" customHeight="1" x14ac:dyDescent="0.2">
      <c r="A2" s="45" t="s">
        <v>79</v>
      </c>
      <c r="B2" s="46" t="s">
        <v>24</v>
      </c>
      <c r="C2" s="46" t="s">
        <v>75</v>
      </c>
      <c r="D2" s="46" t="s">
        <v>76</v>
      </c>
      <c r="E2" s="47" t="s">
        <v>1</v>
      </c>
      <c r="F2" s="47" t="s">
        <v>15</v>
      </c>
      <c r="G2" s="48" t="s">
        <v>27</v>
      </c>
      <c r="H2" s="32" t="s">
        <v>26</v>
      </c>
      <c r="I2" s="39" t="s">
        <v>18</v>
      </c>
      <c r="J2" s="39" t="s">
        <v>17</v>
      </c>
      <c r="K2" s="39" t="s">
        <v>19</v>
      </c>
      <c r="L2" s="39" t="s">
        <v>28</v>
      </c>
    </row>
    <row r="3" spans="1:16" s="50" customFormat="1" ht="25.15" customHeight="1" x14ac:dyDescent="0.25">
      <c r="A3" s="49"/>
      <c r="B3" s="36"/>
      <c r="C3" s="36"/>
      <c r="D3" s="36"/>
      <c r="E3" s="36"/>
      <c r="F3" s="36"/>
      <c r="G3" s="14" t="s">
        <v>69</v>
      </c>
      <c r="H3" s="7"/>
      <c r="I3" s="7"/>
      <c r="J3" s="7"/>
      <c r="K3" s="7"/>
      <c r="L3" s="7"/>
    </row>
    <row r="4" spans="1:16" s="84" customFormat="1" ht="15.75" x14ac:dyDescent="0.25">
      <c r="A4" s="76" t="s">
        <v>7</v>
      </c>
      <c r="B4" s="77">
        <v>100554</v>
      </c>
      <c r="C4" s="78" t="s">
        <v>220</v>
      </c>
      <c r="D4" s="77" t="s">
        <v>44</v>
      </c>
      <c r="E4" s="79">
        <v>45636</v>
      </c>
      <c r="F4" s="79">
        <v>46326</v>
      </c>
      <c r="G4" s="80" t="s">
        <v>100</v>
      </c>
      <c r="H4" s="81" t="s">
        <v>215</v>
      </c>
      <c r="I4" s="81">
        <v>58.43</v>
      </c>
      <c r="J4" s="82">
        <v>0</v>
      </c>
      <c r="K4" s="82">
        <f t="shared" ref="K4" si="0">I4-J4</f>
        <v>58.43</v>
      </c>
      <c r="L4" s="83">
        <v>52788.15</v>
      </c>
    </row>
    <row r="5" spans="1:16" s="84" customFormat="1" ht="15.75" x14ac:dyDescent="0.25">
      <c r="A5" s="76" t="s">
        <v>7</v>
      </c>
      <c r="B5" s="77">
        <v>100554</v>
      </c>
      <c r="C5" s="78" t="s">
        <v>219</v>
      </c>
      <c r="D5" s="77" t="s">
        <v>44</v>
      </c>
      <c r="E5" s="79">
        <v>45636</v>
      </c>
      <c r="F5" s="79">
        <v>46326</v>
      </c>
      <c r="G5" s="80" t="s">
        <v>100</v>
      </c>
      <c r="H5" s="81" t="s">
        <v>216</v>
      </c>
      <c r="I5" s="81">
        <v>13.77</v>
      </c>
      <c r="J5" s="82">
        <v>13.77</v>
      </c>
      <c r="K5" s="82">
        <f>I5-J5</f>
        <v>0</v>
      </c>
      <c r="L5" s="83">
        <v>0</v>
      </c>
    </row>
    <row r="6" spans="1:16" s="84" customFormat="1" ht="15.75" x14ac:dyDescent="0.25">
      <c r="A6" s="76" t="s">
        <v>7</v>
      </c>
      <c r="B6" s="77">
        <v>100554</v>
      </c>
      <c r="C6" s="78" t="s">
        <v>218</v>
      </c>
      <c r="D6" s="77" t="s">
        <v>44</v>
      </c>
      <c r="E6" s="79">
        <v>45636</v>
      </c>
      <c r="F6" s="79">
        <v>46326</v>
      </c>
      <c r="G6" s="80" t="s">
        <v>100</v>
      </c>
      <c r="H6" s="81" t="s">
        <v>217</v>
      </c>
      <c r="I6" s="81">
        <v>87.34</v>
      </c>
      <c r="J6" s="82">
        <v>0</v>
      </c>
      <c r="K6" s="82">
        <f>I6-J6</f>
        <v>87.34</v>
      </c>
      <c r="L6" s="83">
        <v>91707</v>
      </c>
      <c r="P6" s="85"/>
    </row>
    <row r="7" spans="1:16" s="86" customFormat="1" ht="15" customHeight="1" x14ac:dyDescent="0.2">
      <c r="A7" s="86" t="str">
        <f>LOOKUP(B7,B$81:C$93)</f>
        <v>Wrangell</v>
      </c>
      <c r="B7" s="77">
        <v>100522</v>
      </c>
      <c r="C7" s="78" t="s">
        <v>34</v>
      </c>
      <c r="D7" s="77">
        <v>13</v>
      </c>
      <c r="E7" s="79">
        <v>40799</v>
      </c>
      <c r="F7" s="79">
        <v>44703</v>
      </c>
      <c r="G7" s="86" t="s">
        <v>4</v>
      </c>
      <c r="H7" s="87" t="s">
        <v>32</v>
      </c>
      <c r="I7" s="82">
        <v>28749.17</v>
      </c>
      <c r="J7" s="82">
        <v>28749.17</v>
      </c>
      <c r="K7" s="82">
        <f>I7-J7</f>
        <v>0</v>
      </c>
      <c r="L7" s="83">
        <v>0</v>
      </c>
      <c r="M7" s="88"/>
    </row>
    <row r="8" spans="1:16" s="86" customFormat="1" ht="15" customHeight="1" x14ac:dyDescent="0.2">
      <c r="A8" s="86" t="s">
        <v>10</v>
      </c>
      <c r="B8" s="77">
        <v>100552</v>
      </c>
      <c r="C8" s="78" t="s">
        <v>186</v>
      </c>
      <c r="D8" s="77" t="s">
        <v>44</v>
      </c>
      <c r="E8" s="79">
        <v>45196</v>
      </c>
      <c r="F8" s="79">
        <v>45961</v>
      </c>
      <c r="G8" s="86" t="s">
        <v>46</v>
      </c>
      <c r="H8" s="87" t="s">
        <v>187</v>
      </c>
      <c r="I8" s="82">
        <v>302.04000000000002</v>
      </c>
      <c r="J8" s="82">
        <v>302.04000000000002</v>
      </c>
      <c r="K8" s="82">
        <f t="shared" ref="K8:K9" si="1">I8-J8</f>
        <v>0</v>
      </c>
      <c r="L8" s="83">
        <v>0</v>
      </c>
      <c r="M8" s="88"/>
    </row>
    <row r="9" spans="1:16" s="86" customFormat="1" ht="15" customHeight="1" x14ac:dyDescent="0.2">
      <c r="A9" s="86" t="s">
        <v>12</v>
      </c>
      <c r="B9" s="77">
        <v>100521</v>
      </c>
      <c r="C9" s="78" t="s">
        <v>198</v>
      </c>
      <c r="D9" s="77" t="s">
        <v>44</v>
      </c>
      <c r="E9" s="79">
        <v>45545</v>
      </c>
      <c r="F9" s="79">
        <v>45547</v>
      </c>
      <c r="G9" s="86" t="s">
        <v>108</v>
      </c>
      <c r="H9" s="87" t="s">
        <v>199</v>
      </c>
      <c r="I9" s="82">
        <v>4.1900000000000004</v>
      </c>
      <c r="J9" s="82">
        <v>4.1900000000000004</v>
      </c>
      <c r="K9" s="82">
        <f t="shared" si="1"/>
        <v>0</v>
      </c>
      <c r="L9" s="83">
        <v>255.34</v>
      </c>
      <c r="M9" s="88"/>
    </row>
    <row r="10" spans="1:16" s="86" customFormat="1" ht="15" customHeight="1" x14ac:dyDescent="0.2">
      <c r="A10" s="86" t="s">
        <v>11</v>
      </c>
      <c r="B10" s="77">
        <v>100533</v>
      </c>
      <c r="C10" s="78" t="s">
        <v>148</v>
      </c>
      <c r="D10" s="77" t="s">
        <v>44</v>
      </c>
      <c r="E10" s="79">
        <v>44788</v>
      </c>
      <c r="F10" s="79">
        <v>45960</v>
      </c>
      <c r="G10" s="88" t="s">
        <v>147</v>
      </c>
      <c r="H10" s="88" t="s">
        <v>149</v>
      </c>
      <c r="I10" s="82">
        <v>278</v>
      </c>
      <c r="J10" s="82">
        <v>0</v>
      </c>
      <c r="K10" s="82">
        <f>SUM(I10-J10)</f>
        <v>278</v>
      </c>
      <c r="L10" s="83">
        <v>1812</v>
      </c>
      <c r="M10" s="88"/>
    </row>
    <row r="11" spans="1:16" s="86" customFormat="1" ht="15" customHeight="1" x14ac:dyDescent="0.2">
      <c r="A11" s="86" t="s">
        <v>11</v>
      </c>
      <c r="B11" s="77">
        <v>100533</v>
      </c>
      <c r="C11" s="78" t="s">
        <v>166</v>
      </c>
      <c r="D11" s="77" t="s">
        <v>44</v>
      </c>
      <c r="E11" s="79">
        <v>45006</v>
      </c>
      <c r="F11" s="79">
        <v>46082</v>
      </c>
      <c r="G11" s="88" t="s">
        <v>147</v>
      </c>
      <c r="H11" s="88" t="s">
        <v>167</v>
      </c>
      <c r="I11" s="82">
        <v>1024.57</v>
      </c>
      <c r="J11" s="82">
        <v>0</v>
      </c>
      <c r="K11" s="82">
        <f>SUM(I11-J11)</f>
        <v>1024.57</v>
      </c>
      <c r="L11" s="83">
        <v>3596.98</v>
      </c>
      <c r="M11" s="88"/>
    </row>
    <row r="12" spans="1:16" s="86" customFormat="1" ht="15" customHeight="1" x14ac:dyDescent="0.2">
      <c r="A12" s="86" t="s">
        <v>8</v>
      </c>
      <c r="B12" s="77">
        <v>100532</v>
      </c>
      <c r="C12" s="78" t="s">
        <v>122</v>
      </c>
      <c r="D12" s="77" t="s">
        <v>44</v>
      </c>
      <c r="E12" s="79">
        <v>44112</v>
      </c>
      <c r="F12" s="79">
        <v>46326</v>
      </c>
      <c r="G12" s="88" t="s">
        <v>123</v>
      </c>
      <c r="H12" s="88" t="s">
        <v>124</v>
      </c>
      <c r="I12" s="82">
        <v>161.22</v>
      </c>
      <c r="J12" s="82">
        <v>0</v>
      </c>
      <c r="K12" s="82">
        <v>161.22</v>
      </c>
      <c r="L12" s="83">
        <v>22783.21</v>
      </c>
      <c r="M12" s="88"/>
    </row>
    <row r="13" spans="1:16" s="86" customFormat="1" ht="15" customHeight="1" x14ac:dyDescent="0.2">
      <c r="A13" s="86" t="s">
        <v>12</v>
      </c>
      <c r="B13" s="77">
        <v>100521</v>
      </c>
      <c r="C13" s="78" t="s">
        <v>238</v>
      </c>
      <c r="D13" s="77" t="s">
        <v>44</v>
      </c>
      <c r="E13" s="79">
        <v>45895</v>
      </c>
      <c r="F13" s="79">
        <v>46691</v>
      </c>
      <c r="G13" s="88" t="s">
        <v>239</v>
      </c>
      <c r="H13" s="88" t="s">
        <v>240</v>
      </c>
      <c r="I13" s="82">
        <v>6.61</v>
      </c>
      <c r="J13" s="82">
        <v>0</v>
      </c>
      <c r="K13" s="82">
        <f>SUM(I13-J13)</f>
        <v>6.61</v>
      </c>
      <c r="L13" s="83">
        <v>1206.8</v>
      </c>
      <c r="M13" s="88"/>
    </row>
    <row r="14" spans="1:16" s="86" customFormat="1" ht="15" customHeight="1" x14ac:dyDescent="0.2">
      <c r="A14" s="86" t="s">
        <v>22</v>
      </c>
      <c r="B14" s="77">
        <v>100531</v>
      </c>
      <c r="C14" s="78" t="s">
        <v>156</v>
      </c>
      <c r="D14" s="77" t="s">
        <v>44</v>
      </c>
      <c r="E14" s="79">
        <v>44862</v>
      </c>
      <c r="F14" s="79">
        <v>45961</v>
      </c>
      <c r="G14" s="86" t="s">
        <v>157</v>
      </c>
      <c r="H14" s="86" t="s">
        <v>158</v>
      </c>
      <c r="I14" s="82">
        <v>35.47</v>
      </c>
      <c r="J14" s="82">
        <v>29.02</v>
      </c>
      <c r="K14" s="82">
        <f>(I14-J14)</f>
        <v>6.4499999999999993</v>
      </c>
      <c r="L14" s="83">
        <v>13.61</v>
      </c>
      <c r="M14" s="88"/>
    </row>
    <row r="15" spans="1:16" s="86" customFormat="1" ht="15" customHeight="1" x14ac:dyDescent="0.2">
      <c r="A15" s="86" t="str">
        <f>LOOKUP(B15,B$81:C$93)</f>
        <v>Juneau</v>
      </c>
      <c r="B15" s="77">
        <v>100533</v>
      </c>
      <c r="C15" s="78" t="s">
        <v>41</v>
      </c>
      <c r="D15" s="77" t="s">
        <v>44</v>
      </c>
      <c r="E15" s="79">
        <v>41948</v>
      </c>
      <c r="F15" s="79">
        <v>45596</v>
      </c>
      <c r="G15" s="89" t="s">
        <v>29</v>
      </c>
      <c r="H15" s="90" t="s">
        <v>40</v>
      </c>
      <c r="I15" s="82">
        <v>737.59</v>
      </c>
      <c r="J15" s="82">
        <v>28</v>
      </c>
      <c r="K15" s="82">
        <v>709.59</v>
      </c>
      <c r="L15" s="83">
        <v>10766.84</v>
      </c>
      <c r="M15" s="88"/>
    </row>
    <row r="16" spans="1:16" s="86" customFormat="1" ht="15" customHeight="1" x14ac:dyDescent="0.2">
      <c r="A16" s="86" t="str">
        <f>LOOKUP(B16,B$81:C$93)</f>
        <v>Juneau</v>
      </c>
      <c r="B16" s="77">
        <v>100533</v>
      </c>
      <c r="C16" s="78" t="s">
        <v>38</v>
      </c>
      <c r="D16" s="77" t="s">
        <v>44</v>
      </c>
      <c r="E16" s="79">
        <v>41786</v>
      </c>
      <c r="F16" s="79">
        <v>45596</v>
      </c>
      <c r="G16" s="89" t="s">
        <v>29</v>
      </c>
      <c r="H16" s="90" t="s">
        <v>47</v>
      </c>
      <c r="I16" s="82">
        <v>158.33000000000001</v>
      </c>
      <c r="J16" s="82">
        <v>158.33000000000001</v>
      </c>
      <c r="K16" s="82">
        <f>I16-J16</f>
        <v>0</v>
      </c>
      <c r="L16" s="83">
        <v>0</v>
      </c>
      <c r="M16" s="88"/>
    </row>
    <row r="17" spans="1:13" s="86" customFormat="1" ht="15" customHeight="1" x14ac:dyDescent="0.2">
      <c r="A17" s="86" t="s">
        <v>8</v>
      </c>
      <c r="B17" s="77">
        <v>100532</v>
      </c>
      <c r="C17" s="78" t="s">
        <v>98</v>
      </c>
      <c r="D17" s="77" t="s">
        <v>44</v>
      </c>
      <c r="E17" s="79">
        <v>43314</v>
      </c>
      <c r="F17" s="79">
        <v>46326</v>
      </c>
      <c r="G17" s="86" t="s">
        <v>5</v>
      </c>
      <c r="H17" s="86" t="s">
        <v>96</v>
      </c>
      <c r="I17" s="82">
        <v>254.58</v>
      </c>
      <c r="J17" s="82">
        <v>92.2</v>
      </c>
      <c r="K17" s="82">
        <f>I17-J17</f>
        <v>162.38</v>
      </c>
      <c r="L17" s="83">
        <v>7826.81</v>
      </c>
      <c r="M17" s="88"/>
    </row>
    <row r="18" spans="1:13" s="86" customFormat="1" ht="15" customHeight="1" x14ac:dyDescent="0.2">
      <c r="A18" s="86" t="s">
        <v>8</v>
      </c>
      <c r="B18" s="77">
        <v>100532</v>
      </c>
      <c r="C18" s="78" t="s">
        <v>115</v>
      </c>
      <c r="D18" s="77" t="s">
        <v>44</v>
      </c>
      <c r="E18" s="79">
        <v>43993</v>
      </c>
      <c r="F18" s="79">
        <v>45961</v>
      </c>
      <c r="G18" s="86" t="s">
        <v>5</v>
      </c>
      <c r="H18" s="86" t="s">
        <v>116</v>
      </c>
      <c r="I18" s="82">
        <v>150.49</v>
      </c>
      <c r="J18" s="82">
        <v>0</v>
      </c>
      <c r="K18" s="82">
        <f>I18-J18</f>
        <v>150.49</v>
      </c>
      <c r="L18" s="83">
        <v>4025.71</v>
      </c>
      <c r="M18" s="88"/>
    </row>
    <row r="19" spans="1:13" s="86" customFormat="1" ht="15" customHeight="1" x14ac:dyDescent="0.2">
      <c r="A19" s="86" t="s">
        <v>8</v>
      </c>
      <c r="B19" s="77">
        <v>100532</v>
      </c>
      <c r="C19" s="78" t="s">
        <v>117</v>
      </c>
      <c r="D19" s="77" t="s">
        <v>44</v>
      </c>
      <c r="E19" s="79">
        <v>43993</v>
      </c>
      <c r="F19" s="79">
        <v>45961</v>
      </c>
      <c r="G19" s="86" t="s">
        <v>5</v>
      </c>
      <c r="H19" s="86" t="s">
        <v>120</v>
      </c>
      <c r="I19" s="82">
        <v>99.87</v>
      </c>
      <c r="J19" s="82">
        <v>83.75</v>
      </c>
      <c r="K19" s="82">
        <f>I19-J19</f>
        <v>16.120000000000005</v>
      </c>
      <c r="L19" s="83">
        <v>510.11</v>
      </c>
      <c r="M19" s="88"/>
    </row>
    <row r="20" spans="1:13" s="86" customFormat="1" ht="15.6" customHeight="1" x14ac:dyDescent="0.2">
      <c r="A20" s="86" t="s">
        <v>7</v>
      </c>
      <c r="B20" s="77">
        <v>100554</v>
      </c>
      <c r="C20" s="78" t="s">
        <v>107</v>
      </c>
      <c r="D20" s="78" t="s">
        <v>44</v>
      </c>
      <c r="E20" s="79">
        <v>43634</v>
      </c>
      <c r="F20" s="79">
        <v>46326</v>
      </c>
      <c r="G20" s="86" t="s">
        <v>105</v>
      </c>
      <c r="H20" s="86" t="s">
        <v>106</v>
      </c>
      <c r="I20" s="82">
        <v>156</v>
      </c>
      <c r="J20" s="82">
        <v>0</v>
      </c>
      <c r="K20" s="82">
        <v>156</v>
      </c>
      <c r="L20" s="83">
        <v>31251.96</v>
      </c>
      <c r="M20" s="88"/>
    </row>
    <row r="21" spans="1:13" s="86" customFormat="1" ht="15.6" customHeight="1" x14ac:dyDescent="0.2">
      <c r="A21" s="86" t="s">
        <v>7</v>
      </c>
      <c r="B21" s="77">
        <v>100554</v>
      </c>
      <c r="C21" s="78" t="s">
        <v>94</v>
      </c>
      <c r="D21" s="78">
        <v>6</v>
      </c>
      <c r="E21" s="79">
        <v>43276</v>
      </c>
      <c r="F21" s="79">
        <v>45961</v>
      </c>
      <c r="G21" s="86" t="s">
        <v>101</v>
      </c>
      <c r="H21" s="86" t="s">
        <v>95</v>
      </c>
      <c r="I21" s="82">
        <v>533.80999999999995</v>
      </c>
      <c r="J21" s="82">
        <v>407.92</v>
      </c>
      <c r="K21" s="82">
        <f>I21-J21</f>
        <v>125.88999999999993</v>
      </c>
      <c r="L21" s="83">
        <v>528.62</v>
      </c>
      <c r="M21" s="88"/>
    </row>
    <row r="22" spans="1:13" s="86" customFormat="1" ht="15.6" customHeight="1" x14ac:dyDescent="0.2">
      <c r="A22" s="86" t="s">
        <v>7</v>
      </c>
      <c r="B22" s="77">
        <v>100554</v>
      </c>
      <c r="C22" s="78" t="s">
        <v>170</v>
      </c>
      <c r="D22" s="78" t="s">
        <v>44</v>
      </c>
      <c r="E22" s="79">
        <v>45090</v>
      </c>
      <c r="F22" s="79">
        <v>46660</v>
      </c>
      <c r="G22" s="86" t="s">
        <v>101</v>
      </c>
      <c r="H22" s="86" t="s">
        <v>171</v>
      </c>
      <c r="I22" s="82">
        <v>42.91</v>
      </c>
      <c r="J22" s="82">
        <v>0</v>
      </c>
      <c r="K22" s="82">
        <f>SUM(I22-J22)</f>
        <v>42.91</v>
      </c>
      <c r="L22" s="83">
        <v>6761.63</v>
      </c>
      <c r="M22" s="88"/>
    </row>
    <row r="23" spans="1:13" s="86" customFormat="1" ht="15.6" customHeight="1" x14ac:dyDescent="0.2">
      <c r="A23" s="86" t="s">
        <v>7</v>
      </c>
      <c r="B23" s="77">
        <v>100554</v>
      </c>
      <c r="C23" s="78" t="s">
        <v>154</v>
      </c>
      <c r="D23" s="78" t="s">
        <v>44</v>
      </c>
      <c r="E23" s="79">
        <v>44817</v>
      </c>
      <c r="F23" s="79">
        <v>46996</v>
      </c>
      <c r="G23" s="86" t="s">
        <v>101</v>
      </c>
      <c r="H23" s="86" t="s">
        <v>155</v>
      </c>
      <c r="I23" s="82">
        <v>112.34</v>
      </c>
      <c r="J23" s="82">
        <v>0</v>
      </c>
      <c r="K23" s="82">
        <f>I23-J23</f>
        <v>112.34</v>
      </c>
      <c r="L23" s="83">
        <v>3556.05</v>
      </c>
      <c r="M23" s="88"/>
    </row>
    <row r="24" spans="1:13" s="86" customFormat="1" ht="15.6" customHeight="1" x14ac:dyDescent="0.2">
      <c r="A24" s="86" t="s">
        <v>7</v>
      </c>
      <c r="B24" s="77">
        <v>100554</v>
      </c>
      <c r="C24" s="78" t="s">
        <v>193</v>
      </c>
      <c r="D24" s="78" t="s">
        <v>44</v>
      </c>
      <c r="E24" s="79">
        <v>45517</v>
      </c>
      <c r="F24" s="79">
        <v>46691</v>
      </c>
      <c r="G24" s="86" t="s">
        <v>101</v>
      </c>
      <c r="H24" s="86" t="s">
        <v>194</v>
      </c>
      <c r="I24" s="82">
        <v>294.13</v>
      </c>
      <c r="J24" s="82">
        <v>0</v>
      </c>
      <c r="K24" s="82">
        <f>SUM(I24-J24)</f>
        <v>294.13</v>
      </c>
      <c r="L24" s="83">
        <v>5529.04</v>
      </c>
      <c r="M24" s="88"/>
    </row>
    <row r="25" spans="1:13" s="86" customFormat="1" ht="15.6" customHeight="1" x14ac:dyDescent="0.2">
      <c r="A25" s="86" t="s">
        <v>7</v>
      </c>
      <c r="B25" s="77">
        <v>100554</v>
      </c>
      <c r="C25" s="78" t="s">
        <v>188</v>
      </c>
      <c r="D25" s="78" t="s">
        <v>44</v>
      </c>
      <c r="E25" s="79">
        <v>45244</v>
      </c>
      <c r="F25" s="79">
        <v>46326</v>
      </c>
      <c r="G25" s="86" t="s">
        <v>101</v>
      </c>
      <c r="H25" s="86" t="s">
        <v>190</v>
      </c>
      <c r="I25" s="82">
        <v>223.92</v>
      </c>
      <c r="J25" s="82">
        <v>0</v>
      </c>
      <c r="K25" s="82">
        <f>SUM(I25-J25)</f>
        <v>223.92</v>
      </c>
      <c r="L25" s="83">
        <v>4192.32</v>
      </c>
      <c r="M25" s="88"/>
    </row>
    <row r="26" spans="1:13" s="86" customFormat="1" ht="15.6" customHeight="1" x14ac:dyDescent="0.2">
      <c r="A26" s="86" t="s">
        <v>7</v>
      </c>
      <c r="B26" s="77">
        <v>100554</v>
      </c>
      <c r="C26" s="78" t="s">
        <v>227</v>
      </c>
      <c r="D26" s="78" t="s">
        <v>44</v>
      </c>
      <c r="E26" s="79">
        <v>45797</v>
      </c>
      <c r="F26" s="79">
        <v>47057</v>
      </c>
      <c r="G26" s="86" t="s">
        <v>45</v>
      </c>
      <c r="H26" s="86" t="s">
        <v>228</v>
      </c>
      <c r="I26" s="82">
        <v>188.75</v>
      </c>
      <c r="J26" s="82">
        <v>0</v>
      </c>
      <c r="K26" s="82">
        <f>I26-J26</f>
        <v>188.75</v>
      </c>
      <c r="L26" s="83">
        <v>83796.5</v>
      </c>
      <c r="M26" s="88"/>
    </row>
    <row r="27" spans="1:13" s="86" customFormat="1" ht="15.6" customHeight="1" x14ac:dyDescent="0.2">
      <c r="A27" s="86" t="s">
        <v>7</v>
      </c>
      <c r="B27" s="77">
        <v>100554</v>
      </c>
      <c r="C27" s="78" t="s">
        <v>229</v>
      </c>
      <c r="D27" s="78" t="s">
        <v>44</v>
      </c>
      <c r="E27" s="79">
        <v>45797</v>
      </c>
      <c r="F27" s="79">
        <v>46691</v>
      </c>
      <c r="G27" s="86" t="s">
        <v>230</v>
      </c>
      <c r="H27" s="86" t="s">
        <v>231</v>
      </c>
      <c r="I27" s="82">
        <v>15.89</v>
      </c>
      <c r="J27" s="82">
        <v>0</v>
      </c>
      <c r="K27" s="82">
        <f>I27-J27</f>
        <v>15.89</v>
      </c>
      <c r="L27" s="83">
        <v>1617.38</v>
      </c>
      <c r="M27" s="88"/>
    </row>
    <row r="28" spans="1:13" s="86" customFormat="1" ht="15" customHeight="1" x14ac:dyDescent="0.2">
      <c r="A28" s="86" t="s">
        <v>12</v>
      </c>
      <c r="B28" s="77">
        <v>100521</v>
      </c>
      <c r="C28" s="78" t="s">
        <v>179</v>
      </c>
      <c r="D28" s="77" t="s">
        <v>44</v>
      </c>
      <c r="E28" s="79">
        <v>45118</v>
      </c>
      <c r="F28" s="79">
        <v>46311</v>
      </c>
      <c r="G28" s="86" t="s">
        <v>72</v>
      </c>
      <c r="H28" s="86" t="s">
        <v>180</v>
      </c>
      <c r="I28" s="82">
        <v>2.84</v>
      </c>
      <c r="J28" s="82">
        <v>2.84</v>
      </c>
      <c r="K28" s="82">
        <f>I28-J28</f>
        <v>0</v>
      </c>
      <c r="L28" s="83">
        <v>0</v>
      </c>
      <c r="M28" s="88"/>
    </row>
    <row r="29" spans="1:13" s="86" customFormat="1" ht="15" customHeight="1" x14ac:dyDescent="0.2">
      <c r="A29" s="86" t="str">
        <f>LOOKUP(B29,B$81:C$93)</f>
        <v>Wrangell</v>
      </c>
      <c r="B29" s="77">
        <v>100522</v>
      </c>
      <c r="C29" s="78" t="s">
        <v>74</v>
      </c>
      <c r="D29" s="77">
        <v>6</v>
      </c>
      <c r="E29" s="79">
        <v>42640</v>
      </c>
      <c r="F29" s="79">
        <v>45961</v>
      </c>
      <c r="G29" s="86" t="s">
        <v>42</v>
      </c>
      <c r="H29" s="88" t="s">
        <v>73</v>
      </c>
      <c r="I29" s="82">
        <v>9802.6299999999992</v>
      </c>
      <c r="J29" s="82">
        <v>6146.64</v>
      </c>
      <c r="K29" s="82">
        <f t="shared" ref="K29" si="2">I29-J29</f>
        <v>3655.9899999999989</v>
      </c>
      <c r="L29" s="83">
        <v>19835.759999999998</v>
      </c>
      <c r="M29" s="88"/>
    </row>
    <row r="30" spans="1:13" s="86" customFormat="1" ht="15" customHeight="1" x14ac:dyDescent="0.2">
      <c r="A30" s="86" t="s">
        <v>13</v>
      </c>
      <c r="B30" s="77">
        <v>100522</v>
      </c>
      <c r="C30" s="78" t="s">
        <v>152</v>
      </c>
      <c r="D30" s="77">
        <v>6</v>
      </c>
      <c r="E30" s="79">
        <v>44831</v>
      </c>
      <c r="F30" s="79">
        <v>48487</v>
      </c>
      <c r="G30" s="86" t="s">
        <v>42</v>
      </c>
      <c r="H30" s="86" t="s">
        <v>153</v>
      </c>
      <c r="I30" s="82">
        <v>2652</v>
      </c>
      <c r="J30" s="82">
        <v>1183.99</v>
      </c>
      <c r="K30" s="82">
        <f t="shared" ref="K30:K42" si="3">I30-J30</f>
        <v>1468.01</v>
      </c>
      <c r="L30" s="83">
        <v>21228.87</v>
      </c>
      <c r="M30" s="88"/>
    </row>
    <row r="31" spans="1:13" s="86" customFormat="1" ht="15" customHeight="1" x14ac:dyDescent="0.2">
      <c r="A31" s="86" t="s">
        <v>13</v>
      </c>
      <c r="B31" s="77">
        <v>100522</v>
      </c>
      <c r="C31" s="78" t="s">
        <v>181</v>
      </c>
      <c r="D31" s="77" t="s">
        <v>44</v>
      </c>
      <c r="E31" s="79">
        <v>45167</v>
      </c>
      <c r="F31" s="79">
        <v>46326</v>
      </c>
      <c r="G31" s="86" t="s">
        <v>137</v>
      </c>
      <c r="H31" s="86" t="s">
        <v>182</v>
      </c>
      <c r="I31" s="82">
        <v>131.97999999999999</v>
      </c>
      <c r="J31" s="82">
        <v>87.11</v>
      </c>
      <c r="K31" s="82">
        <f t="shared" si="3"/>
        <v>44.86999999999999</v>
      </c>
      <c r="L31" s="83">
        <v>6516.2</v>
      </c>
      <c r="M31" s="88"/>
    </row>
    <row r="32" spans="1:13" s="86" customFormat="1" ht="15" customHeight="1" x14ac:dyDescent="0.2">
      <c r="A32" s="86" t="s">
        <v>12</v>
      </c>
      <c r="B32" s="77">
        <v>100521</v>
      </c>
      <c r="C32" s="78" t="s">
        <v>177</v>
      </c>
      <c r="D32" s="77" t="s">
        <v>44</v>
      </c>
      <c r="E32" s="79">
        <v>45160</v>
      </c>
      <c r="F32" s="79">
        <v>46053</v>
      </c>
      <c r="G32" s="86" t="s">
        <v>183</v>
      </c>
      <c r="H32" s="86" t="s">
        <v>178</v>
      </c>
      <c r="I32" s="82">
        <v>7</v>
      </c>
      <c r="J32" s="82">
        <v>5.5</v>
      </c>
      <c r="K32" s="82">
        <f t="shared" si="3"/>
        <v>1.5</v>
      </c>
      <c r="L32" s="83">
        <v>12.35</v>
      </c>
      <c r="M32" s="88"/>
    </row>
    <row r="33" spans="1:13" s="86" customFormat="1" ht="15" customHeight="1" x14ac:dyDescent="0.2">
      <c r="A33" s="86" t="s">
        <v>12</v>
      </c>
      <c r="B33" s="77">
        <v>100521</v>
      </c>
      <c r="C33" s="78" t="s">
        <v>175</v>
      </c>
      <c r="D33" s="77" t="s">
        <v>44</v>
      </c>
      <c r="E33" s="79">
        <v>45160</v>
      </c>
      <c r="F33" s="79">
        <v>46053</v>
      </c>
      <c r="G33" s="86" t="s">
        <v>141</v>
      </c>
      <c r="H33" s="86" t="s">
        <v>176</v>
      </c>
      <c r="I33" s="82">
        <v>18.260000000000002</v>
      </c>
      <c r="J33" s="82">
        <v>1.3</v>
      </c>
      <c r="K33" s="82">
        <f t="shared" si="3"/>
        <v>16.96</v>
      </c>
      <c r="L33" s="83">
        <v>212</v>
      </c>
      <c r="M33" s="88"/>
    </row>
    <row r="34" spans="1:13" s="86" customFormat="1" ht="15" customHeight="1" x14ac:dyDescent="0.2">
      <c r="A34" s="86" t="s">
        <v>12</v>
      </c>
      <c r="B34" s="77">
        <v>100521</v>
      </c>
      <c r="C34" s="78" t="s">
        <v>173</v>
      </c>
      <c r="D34" s="77" t="s">
        <v>44</v>
      </c>
      <c r="E34" s="79">
        <v>45160</v>
      </c>
      <c r="F34" s="79">
        <v>46053</v>
      </c>
      <c r="G34" s="86" t="s">
        <v>141</v>
      </c>
      <c r="H34" s="86" t="s">
        <v>174</v>
      </c>
      <c r="I34" s="82">
        <v>18.68</v>
      </c>
      <c r="J34" s="82">
        <v>18.68</v>
      </c>
      <c r="K34" s="82">
        <f t="shared" si="3"/>
        <v>0</v>
      </c>
      <c r="L34" s="83">
        <v>0</v>
      </c>
      <c r="M34" s="88"/>
    </row>
    <row r="35" spans="1:13" s="86" customFormat="1" ht="15" customHeight="1" x14ac:dyDescent="0.2">
      <c r="A35" s="86" t="s">
        <v>12</v>
      </c>
      <c r="B35" s="77">
        <v>100521</v>
      </c>
      <c r="C35" s="78" t="s">
        <v>184</v>
      </c>
      <c r="D35" s="77" t="s">
        <v>44</v>
      </c>
      <c r="E35" s="79">
        <v>45195</v>
      </c>
      <c r="F35" s="79">
        <v>46053</v>
      </c>
      <c r="G35" s="86" t="s">
        <v>141</v>
      </c>
      <c r="H35" s="86" t="s">
        <v>185</v>
      </c>
      <c r="I35" s="82">
        <v>21.83</v>
      </c>
      <c r="J35" s="82">
        <v>0</v>
      </c>
      <c r="K35" s="82">
        <f t="shared" si="3"/>
        <v>21.83</v>
      </c>
      <c r="L35" s="83">
        <v>531.41999999999996</v>
      </c>
      <c r="M35" s="88"/>
    </row>
    <row r="36" spans="1:13" s="86" customFormat="1" ht="15" customHeight="1" x14ac:dyDescent="0.2">
      <c r="A36" s="86" t="s">
        <v>12</v>
      </c>
      <c r="B36" s="77">
        <v>100521</v>
      </c>
      <c r="C36" s="78" t="s">
        <v>200</v>
      </c>
      <c r="D36" s="77" t="s">
        <v>44</v>
      </c>
      <c r="E36" s="79">
        <v>45533</v>
      </c>
      <c r="F36" s="79">
        <v>45961</v>
      </c>
      <c r="G36" s="86" t="s">
        <v>141</v>
      </c>
      <c r="H36" s="86" t="s">
        <v>201</v>
      </c>
      <c r="I36" s="82">
        <v>40.770000000000003</v>
      </c>
      <c r="J36" s="82">
        <v>0</v>
      </c>
      <c r="K36" s="82">
        <f t="shared" si="3"/>
        <v>40.770000000000003</v>
      </c>
      <c r="L36" s="83">
        <v>81.540000000000006</v>
      </c>
      <c r="M36" s="88"/>
    </row>
    <row r="37" spans="1:13" s="86" customFormat="1" ht="15" customHeight="1" x14ac:dyDescent="0.2">
      <c r="A37" s="86" t="s">
        <v>12</v>
      </c>
      <c r="B37" s="77">
        <v>100521</v>
      </c>
      <c r="C37" s="78" t="s">
        <v>191</v>
      </c>
      <c r="D37" s="77" t="s">
        <v>44</v>
      </c>
      <c r="E37" s="79">
        <v>45272</v>
      </c>
      <c r="F37" s="79">
        <v>46691</v>
      </c>
      <c r="G37" s="86" t="s">
        <v>141</v>
      </c>
      <c r="H37" s="86" t="s">
        <v>192</v>
      </c>
      <c r="I37" s="82">
        <v>258</v>
      </c>
      <c r="J37" s="82">
        <v>0</v>
      </c>
      <c r="K37" s="82">
        <f t="shared" si="3"/>
        <v>258</v>
      </c>
      <c r="L37" s="83">
        <v>27382.78</v>
      </c>
      <c r="M37" s="88"/>
    </row>
    <row r="38" spans="1:13" s="86" customFormat="1" x14ac:dyDescent="0.2">
      <c r="A38" s="86" t="s">
        <v>12</v>
      </c>
      <c r="B38" s="77">
        <v>100521</v>
      </c>
      <c r="C38" s="78" t="s">
        <v>164</v>
      </c>
      <c r="D38" s="77" t="s">
        <v>44</v>
      </c>
      <c r="E38" s="79">
        <v>44992</v>
      </c>
      <c r="F38" s="79">
        <v>46599</v>
      </c>
      <c r="G38" s="86" t="s">
        <v>121</v>
      </c>
      <c r="H38" s="86" t="s">
        <v>165</v>
      </c>
      <c r="I38" s="82">
        <v>599.17999999999995</v>
      </c>
      <c r="J38" s="82">
        <v>0</v>
      </c>
      <c r="K38" s="82">
        <f t="shared" si="3"/>
        <v>599.17999999999995</v>
      </c>
      <c r="L38" s="83">
        <v>52002.83</v>
      </c>
      <c r="M38" s="88"/>
    </row>
    <row r="39" spans="1:13" s="86" customFormat="1" ht="15" customHeight="1" x14ac:dyDescent="0.2">
      <c r="A39" s="86" t="s">
        <v>12</v>
      </c>
      <c r="B39" s="77">
        <v>100521</v>
      </c>
      <c r="C39" s="78" t="s">
        <v>202</v>
      </c>
      <c r="D39" s="77" t="s">
        <v>44</v>
      </c>
      <c r="E39" s="79">
        <v>45545</v>
      </c>
      <c r="F39" s="79">
        <v>46288</v>
      </c>
      <c r="G39" s="86" t="s">
        <v>203</v>
      </c>
      <c r="H39" s="86" t="s">
        <v>204</v>
      </c>
      <c r="I39" s="82">
        <v>4.45</v>
      </c>
      <c r="J39" s="82">
        <v>4.45</v>
      </c>
      <c r="K39" s="82">
        <f t="shared" si="3"/>
        <v>0</v>
      </c>
      <c r="L39" s="83">
        <v>0</v>
      </c>
      <c r="M39" s="88"/>
    </row>
    <row r="40" spans="1:13" s="86" customFormat="1" ht="15" customHeight="1" x14ac:dyDescent="0.2">
      <c r="A40" s="86" t="s">
        <v>22</v>
      </c>
      <c r="B40" s="77">
        <v>100531</v>
      </c>
      <c r="C40" s="78" t="s">
        <v>241</v>
      </c>
      <c r="D40" s="77" t="s">
        <v>44</v>
      </c>
      <c r="E40" s="79">
        <v>45887</v>
      </c>
      <c r="F40" s="79">
        <v>47057</v>
      </c>
      <c r="G40" s="86" t="s">
        <v>242</v>
      </c>
      <c r="H40" s="86" t="s">
        <v>243</v>
      </c>
      <c r="I40" s="82">
        <v>42.53</v>
      </c>
      <c r="J40" s="82">
        <v>0</v>
      </c>
      <c r="K40" s="82">
        <f t="shared" si="3"/>
        <v>42.53</v>
      </c>
      <c r="L40" s="83">
        <v>650.03</v>
      </c>
      <c r="M40" s="88"/>
    </row>
    <row r="41" spans="1:13" s="86" customFormat="1" ht="15" customHeight="1" x14ac:dyDescent="0.2">
      <c r="A41" s="86" t="s">
        <v>8</v>
      </c>
      <c r="B41" s="77">
        <v>100532</v>
      </c>
      <c r="C41" s="78" t="s">
        <v>244</v>
      </c>
      <c r="D41" s="77" t="s">
        <v>44</v>
      </c>
      <c r="E41" s="79">
        <v>45887</v>
      </c>
      <c r="F41" s="79">
        <v>47057</v>
      </c>
      <c r="G41" s="86" t="s">
        <v>242</v>
      </c>
      <c r="H41" s="86" t="s">
        <v>245</v>
      </c>
      <c r="I41" s="82">
        <v>44.88</v>
      </c>
      <c r="J41" s="82">
        <v>0</v>
      </c>
      <c r="K41" s="82">
        <f t="shared" si="3"/>
        <v>44.88</v>
      </c>
      <c r="L41" s="83">
        <v>5499.81</v>
      </c>
      <c r="M41" s="88"/>
    </row>
    <row r="42" spans="1:13" s="86" customFormat="1" ht="15" customHeight="1" x14ac:dyDescent="0.2">
      <c r="A42" s="86" t="s">
        <v>7</v>
      </c>
      <c r="B42" s="77">
        <v>100554</v>
      </c>
      <c r="C42" s="78" t="s">
        <v>248</v>
      </c>
      <c r="D42" s="77">
        <v>4</v>
      </c>
      <c r="E42" s="79">
        <v>45888</v>
      </c>
      <c r="F42" s="79">
        <v>46022</v>
      </c>
      <c r="G42" s="86" t="s">
        <v>249</v>
      </c>
      <c r="H42" s="86" t="s">
        <v>250</v>
      </c>
      <c r="I42" s="82">
        <v>15.61</v>
      </c>
      <c r="J42" s="82">
        <v>0</v>
      </c>
      <c r="K42" s="82">
        <f t="shared" si="3"/>
        <v>15.61</v>
      </c>
      <c r="L42" s="83">
        <v>31.22</v>
      </c>
      <c r="M42" s="88"/>
    </row>
    <row r="43" spans="1:13" s="86" customFormat="1" ht="15" customHeight="1" x14ac:dyDescent="0.2">
      <c r="A43" s="86" t="s">
        <v>10</v>
      </c>
      <c r="B43" s="77">
        <v>100552</v>
      </c>
      <c r="C43" s="78" t="s">
        <v>104</v>
      </c>
      <c r="D43" s="77">
        <v>4</v>
      </c>
      <c r="E43" s="79">
        <v>43529</v>
      </c>
      <c r="F43" s="79">
        <v>46022</v>
      </c>
      <c r="G43" s="91" t="s">
        <v>89</v>
      </c>
      <c r="H43" s="92" t="s">
        <v>126</v>
      </c>
      <c r="I43" s="82">
        <v>2729.9</v>
      </c>
      <c r="J43" s="82">
        <v>0</v>
      </c>
      <c r="K43" s="82">
        <v>2729.9</v>
      </c>
      <c r="L43" s="83">
        <v>0</v>
      </c>
      <c r="M43" s="88"/>
    </row>
    <row r="44" spans="1:13" s="86" customFormat="1" ht="15" customHeight="1" x14ac:dyDescent="0.2">
      <c r="A44" s="86" t="s">
        <v>7</v>
      </c>
      <c r="B44" s="77">
        <v>100554</v>
      </c>
      <c r="C44" s="78" t="s">
        <v>224</v>
      </c>
      <c r="D44" s="77" t="s">
        <v>50</v>
      </c>
      <c r="E44" s="79">
        <v>45720</v>
      </c>
      <c r="F44" s="79">
        <v>46115</v>
      </c>
      <c r="G44" s="91" t="s">
        <v>225</v>
      </c>
      <c r="H44" s="92" t="s">
        <v>226</v>
      </c>
      <c r="I44" s="82">
        <v>2.13</v>
      </c>
      <c r="J44" s="82">
        <v>0</v>
      </c>
      <c r="K44" s="82">
        <f t="shared" ref="K44:K50" si="4">I44-J44</f>
        <v>2.13</v>
      </c>
      <c r="L44" s="83">
        <v>57.23</v>
      </c>
      <c r="M44" s="88"/>
    </row>
    <row r="45" spans="1:13" s="86" customFormat="1" ht="15" customHeight="1" x14ac:dyDescent="0.2">
      <c r="A45" s="86" t="s">
        <v>22</v>
      </c>
      <c r="B45" s="77">
        <v>100531</v>
      </c>
      <c r="C45" s="78" t="s">
        <v>221</v>
      </c>
      <c r="D45" s="77" t="s">
        <v>44</v>
      </c>
      <c r="E45" s="79">
        <v>45727</v>
      </c>
      <c r="F45" s="79">
        <v>46691</v>
      </c>
      <c r="G45" s="91" t="s">
        <v>222</v>
      </c>
      <c r="H45" s="92" t="s">
        <v>223</v>
      </c>
      <c r="I45" s="82">
        <v>44.49</v>
      </c>
      <c r="J45" s="82">
        <v>0</v>
      </c>
      <c r="K45" s="82">
        <f t="shared" si="4"/>
        <v>44.49</v>
      </c>
      <c r="L45" s="83">
        <v>849.78</v>
      </c>
      <c r="M45" s="88"/>
    </row>
    <row r="46" spans="1:13" s="86" customFormat="1" ht="15" customHeight="1" x14ac:dyDescent="0.2">
      <c r="A46" s="86" t="str">
        <f>LOOKUP(B46,B$81:C$93)</f>
        <v>Sitka</v>
      </c>
      <c r="B46" s="77">
        <v>100531</v>
      </c>
      <c r="C46" s="78" t="s">
        <v>118</v>
      </c>
      <c r="D46" s="77" t="s">
        <v>44</v>
      </c>
      <c r="E46" s="79">
        <v>43986</v>
      </c>
      <c r="F46" s="79">
        <v>45961</v>
      </c>
      <c r="G46" s="91" t="s">
        <v>48</v>
      </c>
      <c r="H46" s="92" t="s">
        <v>119</v>
      </c>
      <c r="I46" s="82">
        <v>37.909999999999997</v>
      </c>
      <c r="J46" s="82">
        <v>0</v>
      </c>
      <c r="K46" s="82">
        <f t="shared" si="4"/>
        <v>37.909999999999997</v>
      </c>
      <c r="L46" s="83">
        <v>79.06</v>
      </c>
      <c r="M46" s="88"/>
    </row>
    <row r="47" spans="1:13" s="86" customFormat="1" ht="15" customHeight="1" x14ac:dyDescent="0.2">
      <c r="A47" s="86" t="s">
        <v>22</v>
      </c>
      <c r="B47" s="77">
        <v>100531</v>
      </c>
      <c r="C47" s="78" t="s">
        <v>138</v>
      </c>
      <c r="D47" s="77" t="s">
        <v>44</v>
      </c>
      <c r="E47" s="79">
        <v>44448</v>
      </c>
      <c r="F47" s="79">
        <v>45961</v>
      </c>
      <c r="G47" s="86" t="s">
        <v>48</v>
      </c>
      <c r="H47" s="86" t="s">
        <v>139</v>
      </c>
      <c r="I47" s="82">
        <v>15</v>
      </c>
      <c r="J47" s="82">
        <v>0</v>
      </c>
      <c r="K47" s="82">
        <f t="shared" si="4"/>
        <v>15</v>
      </c>
      <c r="L47" s="83">
        <v>3210.15</v>
      </c>
      <c r="M47" s="88"/>
    </row>
    <row r="48" spans="1:13" s="86" customFormat="1" ht="15" customHeight="1" x14ac:dyDescent="0.2">
      <c r="A48" s="86" t="str">
        <f>LOOKUP(B48,B$80:C$92)</f>
        <v>Sitka</v>
      </c>
      <c r="B48" s="77">
        <v>100531</v>
      </c>
      <c r="C48" s="78" t="s">
        <v>49</v>
      </c>
      <c r="D48" s="77" t="s">
        <v>44</v>
      </c>
      <c r="E48" s="79">
        <v>42283</v>
      </c>
      <c r="F48" s="79">
        <v>45230</v>
      </c>
      <c r="G48" s="93" t="s">
        <v>37</v>
      </c>
      <c r="H48" s="86" t="s">
        <v>80</v>
      </c>
      <c r="I48" s="82">
        <v>94.66</v>
      </c>
      <c r="J48" s="82">
        <v>94.66</v>
      </c>
      <c r="K48" s="82">
        <f t="shared" si="4"/>
        <v>0</v>
      </c>
      <c r="L48" s="83">
        <v>0</v>
      </c>
      <c r="M48" s="88"/>
    </row>
    <row r="49" spans="1:13" s="86" customFormat="1" ht="15" customHeight="1" x14ac:dyDescent="0.2">
      <c r="A49" s="86" t="str">
        <f>LOOKUP(B49,B$81:C$93)</f>
        <v>Thorne Bay</v>
      </c>
      <c r="B49" s="77">
        <v>100554</v>
      </c>
      <c r="C49" s="78" t="s">
        <v>90</v>
      </c>
      <c r="D49" s="77">
        <v>13</v>
      </c>
      <c r="E49" s="79">
        <v>41905</v>
      </c>
      <c r="F49" s="79">
        <v>46660</v>
      </c>
      <c r="G49" s="86" t="s">
        <v>16</v>
      </c>
      <c r="H49" s="86" t="s">
        <v>39</v>
      </c>
      <c r="I49" s="82">
        <v>89840.13</v>
      </c>
      <c r="J49" s="82">
        <v>87099.4</v>
      </c>
      <c r="K49" s="82">
        <f t="shared" si="4"/>
        <v>2740.7300000000105</v>
      </c>
      <c r="L49" s="83">
        <v>26644.47</v>
      </c>
      <c r="M49" s="88"/>
    </row>
    <row r="50" spans="1:13" s="86" customFormat="1" ht="15" customHeight="1" x14ac:dyDescent="0.2">
      <c r="A50" s="86" t="s">
        <v>7</v>
      </c>
      <c r="B50" s="77">
        <v>100554</v>
      </c>
      <c r="C50" s="78" t="s">
        <v>246</v>
      </c>
      <c r="D50" s="77">
        <v>6</v>
      </c>
      <c r="E50" s="79">
        <v>45888</v>
      </c>
      <c r="F50" s="79">
        <v>47057</v>
      </c>
      <c r="G50" s="86" t="s">
        <v>16</v>
      </c>
      <c r="H50" s="86" t="s">
        <v>247</v>
      </c>
      <c r="I50" s="82">
        <v>1534</v>
      </c>
      <c r="J50" s="82">
        <v>0</v>
      </c>
      <c r="K50" s="82">
        <f t="shared" si="4"/>
        <v>1534</v>
      </c>
      <c r="L50" s="83">
        <v>529008.74</v>
      </c>
      <c r="M50" s="88"/>
    </row>
    <row r="51" spans="1:13" s="86" customFormat="1" ht="15" customHeight="1" x14ac:dyDescent="0.2">
      <c r="A51" s="86" t="str">
        <f>LOOKUP(B51,B$81:C$93)</f>
        <v>Thorne Bay</v>
      </c>
      <c r="B51" s="77">
        <v>100554</v>
      </c>
      <c r="C51" s="78" t="s">
        <v>35</v>
      </c>
      <c r="D51" s="77">
        <v>6</v>
      </c>
      <c r="E51" s="79">
        <v>40448</v>
      </c>
      <c r="F51" s="79">
        <v>42308</v>
      </c>
      <c r="G51" s="86" t="s">
        <v>16</v>
      </c>
      <c r="H51" s="86" t="s">
        <v>31</v>
      </c>
      <c r="I51" s="82">
        <v>31842.73</v>
      </c>
      <c r="J51" s="82">
        <v>31842.73</v>
      </c>
      <c r="K51" s="82">
        <v>0</v>
      </c>
      <c r="L51" s="83">
        <v>0</v>
      </c>
      <c r="M51" s="88"/>
    </row>
    <row r="52" spans="1:13" s="86" customFormat="1" ht="15" customHeight="1" x14ac:dyDescent="0.2">
      <c r="A52" s="86" t="s">
        <v>7</v>
      </c>
      <c r="B52" s="77">
        <v>100554</v>
      </c>
      <c r="C52" s="78" t="s">
        <v>196</v>
      </c>
      <c r="D52" s="77">
        <v>6</v>
      </c>
      <c r="E52" s="79">
        <v>44817</v>
      </c>
      <c r="F52" s="79">
        <v>46691</v>
      </c>
      <c r="G52" s="86" t="s">
        <v>16</v>
      </c>
      <c r="H52" s="86" t="s">
        <v>197</v>
      </c>
      <c r="I52" s="82">
        <v>1017.87</v>
      </c>
      <c r="J52" s="82">
        <v>1017.87</v>
      </c>
      <c r="K52" s="82">
        <f>SUM(I52-J52)</f>
        <v>0</v>
      </c>
      <c r="L52" s="83">
        <v>0</v>
      </c>
      <c r="M52" s="88"/>
    </row>
    <row r="53" spans="1:13" s="86" customFormat="1" ht="15" customHeight="1" x14ac:dyDescent="0.2">
      <c r="A53" s="86" t="s">
        <v>7</v>
      </c>
      <c r="B53" s="77">
        <v>100554</v>
      </c>
      <c r="C53" s="78" t="s">
        <v>92</v>
      </c>
      <c r="D53" s="77">
        <v>6</v>
      </c>
      <c r="E53" s="79">
        <v>43221</v>
      </c>
      <c r="F53" s="79">
        <v>46326</v>
      </c>
      <c r="G53" s="86" t="s">
        <v>16</v>
      </c>
      <c r="H53" s="86" t="s">
        <v>93</v>
      </c>
      <c r="I53" s="82">
        <v>8729.4500000000007</v>
      </c>
      <c r="J53" s="82">
        <v>8644.35</v>
      </c>
      <c r="K53" s="82">
        <f t="shared" ref="K53:K58" si="5">I53-J53</f>
        <v>85.100000000000364</v>
      </c>
      <c r="L53" s="83">
        <v>14350.41</v>
      </c>
      <c r="M53" s="88"/>
    </row>
    <row r="54" spans="1:13" s="86" customFormat="1" ht="15" customHeight="1" x14ac:dyDescent="0.2">
      <c r="A54" s="86" t="s">
        <v>7</v>
      </c>
      <c r="B54" s="77">
        <v>100554</v>
      </c>
      <c r="C54" s="78" t="s">
        <v>188</v>
      </c>
      <c r="D54" s="77" t="s">
        <v>44</v>
      </c>
      <c r="E54" s="79">
        <v>45244</v>
      </c>
      <c r="F54" s="79">
        <v>47422</v>
      </c>
      <c r="G54" s="86" t="s">
        <v>53</v>
      </c>
      <c r="H54" s="86" t="s">
        <v>189</v>
      </c>
      <c r="I54" s="82">
        <v>429</v>
      </c>
      <c r="J54" s="82">
        <v>0</v>
      </c>
      <c r="K54" s="82">
        <f t="shared" si="5"/>
        <v>429</v>
      </c>
      <c r="L54" s="83">
        <v>146434</v>
      </c>
      <c r="M54" s="88"/>
    </row>
    <row r="55" spans="1:13" s="86" customFormat="1" ht="15" customHeight="1" x14ac:dyDescent="0.2">
      <c r="A55" s="86" t="str">
        <f>LOOKUP(B55,B$82:C$95)</f>
        <v>Thorne Bay</v>
      </c>
      <c r="B55" s="77">
        <v>100554</v>
      </c>
      <c r="C55" s="78" t="s">
        <v>110</v>
      </c>
      <c r="D55" s="77">
        <v>6</v>
      </c>
      <c r="E55" s="79">
        <v>43398</v>
      </c>
      <c r="F55" s="79">
        <v>47057</v>
      </c>
      <c r="G55" s="86" t="s">
        <v>53</v>
      </c>
      <c r="H55" s="86" t="s">
        <v>111</v>
      </c>
      <c r="I55" s="82">
        <v>1752</v>
      </c>
      <c r="J55" s="82">
        <v>306.25</v>
      </c>
      <c r="K55" s="82">
        <f t="shared" si="5"/>
        <v>1445.75</v>
      </c>
      <c r="L55" s="83">
        <v>220892.91</v>
      </c>
      <c r="M55" s="88"/>
    </row>
    <row r="56" spans="1:13" s="86" customFormat="1" ht="15" customHeight="1" x14ac:dyDescent="0.2">
      <c r="A56" s="86" t="str">
        <f>LOOKUP(B56,B$82:C$95)</f>
        <v>Thorne Bay</v>
      </c>
      <c r="B56" s="77">
        <v>100554</v>
      </c>
      <c r="C56" s="78" t="s">
        <v>112</v>
      </c>
      <c r="D56" s="77">
        <v>6</v>
      </c>
      <c r="E56" s="79">
        <v>43977</v>
      </c>
      <c r="F56" s="79">
        <v>47057</v>
      </c>
      <c r="G56" s="86" t="s">
        <v>53</v>
      </c>
      <c r="H56" s="86" t="s">
        <v>113</v>
      </c>
      <c r="I56" s="82">
        <v>1837</v>
      </c>
      <c r="J56" s="82">
        <v>1300.28</v>
      </c>
      <c r="K56" s="82">
        <f t="shared" si="5"/>
        <v>536.72</v>
      </c>
      <c r="L56" s="83">
        <v>124850.24000000001</v>
      </c>
      <c r="M56" s="88"/>
    </row>
    <row r="57" spans="1:13" s="86" customFormat="1" ht="15" customHeight="1" x14ac:dyDescent="0.2">
      <c r="A57" s="86" t="str">
        <f>LOOKUP(B57,B$82:C$95)</f>
        <v>Thorne Bay</v>
      </c>
      <c r="B57" s="77">
        <v>100554</v>
      </c>
      <c r="C57" s="78" t="s">
        <v>125</v>
      </c>
      <c r="D57" s="77">
        <v>6</v>
      </c>
      <c r="E57" s="79">
        <v>44187</v>
      </c>
      <c r="F57" s="79">
        <v>46904</v>
      </c>
      <c r="G57" s="86" t="s">
        <v>53</v>
      </c>
      <c r="H57" s="86" t="s">
        <v>132</v>
      </c>
      <c r="I57" s="82">
        <v>914</v>
      </c>
      <c r="J57" s="82">
        <v>0</v>
      </c>
      <c r="K57" s="82">
        <f t="shared" si="5"/>
        <v>914</v>
      </c>
      <c r="L57" s="83">
        <v>52502.51</v>
      </c>
      <c r="M57" s="88"/>
    </row>
    <row r="58" spans="1:13" s="86" customFormat="1" ht="15" customHeight="1" x14ac:dyDescent="0.2">
      <c r="A58" s="86" t="s">
        <v>7</v>
      </c>
      <c r="B58" s="77">
        <v>100554</v>
      </c>
      <c r="C58" s="78" t="s">
        <v>143</v>
      </c>
      <c r="D58" s="77" t="s">
        <v>44</v>
      </c>
      <c r="E58" s="79">
        <v>44698</v>
      </c>
      <c r="F58" s="79">
        <v>46568</v>
      </c>
      <c r="G58" s="86" t="s">
        <v>53</v>
      </c>
      <c r="H58" s="86" t="s">
        <v>144</v>
      </c>
      <c r="I58" s="82">
        <v>271.54000000000002</v>
      </c>
      <c r="J58" s="82">
        <v>186.54</v>
      </c>
      <c r="K58" s="82">
        <f t="shared" si="5"/>
        <v>85.000000000000028</v>
      </c>
      <c r="L58" s="83">
        <v>13345.63</v>
      </c>
      <c r="M58" s="88"/>
    </row>
    <row r="59" spans="1:13" s="86" customFormat="1" ht="15" customHeight="1" x14ac:dyDescent="0.2">
      <c r="A59" s="86" t="s">
        <v>7</v>
      </c>
      <c r="B59" s="77">
        <v>100554</v>
      </c>
      <c r="C59" s="78" t="s">
        <v>168</v>
      </c>
      <c r="D59" s="77">
        <v>4</v>
      </c>
      <c r="E59" s="79">
        <v>45090</v>
      </c>
      <c r="F59" s="79">
        <v>45961</v>
      </c>
      <c r="G59" s="86" t="s">
        <v>109</v>
      </c>
      <c r="H59" s="86" t="s">
        <v>169</v>
      </c>
      <c r="I59" s="82">
        <v>3.66</v>
      </c>
      <c r="J59" s="82">
        <v>0</v>
      </c>
      <c r="K59" s="82">
        <f>I59-J59</f>
        <v>3.66</v>
      </c>
      <c r="L59" s="83">
        <v>411.79</v>
      </c>
      <c r="M59" s="88"/>
    </row>
    <row r="60" spans="1:13" s="86" customFormat="1" ht="15" customHeight="1" x14ac:dyDescent="0.2">
      <c r="A60" s="86" t="s">
        <v>9</v>
      </c>
      <c r="B60" s="77">
        <v>100551</v>
      </c>
      <c r="C60" s="78" t="s">
        <v>232</v>
      </c>
      <c r="D60" s="77">
        <v>4</v>
      </c>
      <c r="E60" s="79">
        <v>45860</v>
      </c>
      <c r="F60" s="79">
        <v>46255</v>
      </c>
      <c r="G60" s="86" t="s">
        <v>109</v>
      </c>
      <c r="H60" s="86" t="s">
        <v>233</v>
      </c>
      <c r="I60" s="82">
        <v>1.23</v>
      </c>
      <c r="J60" s="82">
        <v>1.23</v>
      </c>
      <c r="K60" s="82">
        <f>I60-J60</f>
        <v>0</v>
      </c>
      <c r="L60" s="83">
        <v>0</v>
      </c>
      <c r="M60" s="88"/>
    </row>
    <row r="61" spans="1:13" s="5" customFormat="1" ht="19.149999999999999" customHeight="1" x14ac:dyDescent="0.2">
      <c r="B61" s="51"/>
      <c r="C61" s="52"/>
      <c r="D61" s="53"/>
      <c r="E61" s="53"/>
      <c r="F61" s="53"/>
      <c r="I61" s="40"/>
      <c r="J61" s="40"/>
      <c r="K61" s="40"/>
      <c r="L61" s="54"/>
      <c r="M61" s="22"/>
    </row>
    <row r="62" spans="1:13" s="5" customFormat="1" ht="19.149999999999999" customHeight="1" x14ac:dyDescent="0.2">
      <c r="H62" s="33"/>
    </row>
    <row r="63" spans="1:13" s="5" customFormat="1" ht="19.149999999999999" customHeight="1" x14ac:dyDescent="0.2">
      <c r="B63" s="1" t="s">
        <v>81</v>
      </c>
      <c r="C63" s="12">
        <f>COUNTIF($K$4:$K$59,"&gt;=0")</f>
        <v>56</v>
      </c>
      <c r="D63" s="13"/>
      <c r="E63" s="13"/>
      <c r="F63" s="13"/>
      <c r="G63" s="14" t="s">
        <v>82</v>
      </c>
      <c r="H63" s="9">
        <f>COUNTIF($K$4:$K$59,"&gt;0")</f>
        <v>45</v>
      </c>
      <c r="I63" s="1">
        <f>SUM(I4:I60)</f>
        <v>188446.76000000004</v>
      </c>
      <c r="J63" s="1">
        <f>SUM(J4:J60)</f>
        <v>167812.21000000002</v>
      </c>
      <c r="K63" s="1">
        <f>SUM(K4:K60)</f>
        <v>20634.550000000007</v>
      </c>
      <c r="L63" s="2">
        <f>SUM(L4:L60)</f>
        <v>1601147.7899999998</v>
      </c>
    </row>
    <row r="64" spans="1:13" s="5" customFormat="1" ht="19.149999999999999" customHeight="1" x14ac:dyDescent="0.2">
      <c r="B64" s="55"/>
      <c r="C64" s="56"/>
      <c r="D64" s="56"/>
      <c r="E64" s="55"/>
      <c r="F64" s="57"/>
      <c r="I64" s="41"/>
      <c r="J64" s="41"/>
      <c r="K64" s="41"/>
      <c r="L64" s="58"/>
    </row>
    <row r="65" spans="1:12" s="59" customFormat="1" ht="30" customHeight="1" x14ac:dyDescent="0.2">
      <c r="A65" s="49"/>
      <c r="B65" s="13"/>
      <c r="C65" s="13"/>
      <c r="D65" s="13"/>
      <c r="E65" s="13"/>
      <c r="F65" s="13"/>
      <c r="G65" s="14" t="s">
        <v>70</v>
      </c>
      <c r="H65" s="5"/>
      <c r="I65" s="5"/>
      <c r="J65" s="5"/>
      <c r="K65" s="5"/>
      <c r="L65" s="5"/>
    </row>
    <row r="66" spans="1:12" s="5" customFormat="1" ht="15" customHeight="1" x14ac:dyDescent="0.2">
      <c r="B66" s="60"/>
      <c r="C66" s="61"/>
      <c r="D66" s="61"/>
      <c r="E66" s="62"/>
      <c r="F66" s="62"/>
      <c r="G66" s="34"/>
      <c r="H66" s="34"/>
      <c r="I66" s="42"/>
      <c r="J66" s="42"/>
      <c r="K66" s="42"/>
      <c r="L66" s="63"/>
    </row>
    <row r="67" spans="1:12" s="5" customFormat="1" ht="15" customHeight="1" x14ac:dyDescent="0.2">
      <c r="A67" s="5" t="s">
        <v>14</v>
      </c>
      <c r="B67" s="23">
        <v>100430</v>
      </c>
      <c r="C67" s="24" t="s">
        <v>160</v>
      </c>
      <c r="D67" s="23" t="s">
        <v>44</v>
      </c>
      <c r="E67" s="25">
        <v>44916</v>
      </c>
      <c r="F67" s="25">
        <v>45997</v>
      </c>
      <c r="G67" s="26" t="s">
        <v>87</v>
      </c>
      <c r="H67" s="26" t="s">
        <v>161</v>
      </c>
      <c r="I67" s="27">
        <v>176</v>
      </c>
      <c r="J67" s="27">
        <v>0</v>
      </c>
      <c r="K67" s="27">
        <f t="shared" ref="K67:K73" si="6">SUM(I67-J67)</f>
        <v>176</v>
      </c>
      <c r="L67" s="28">
        <v>13467.52</v>
      </c>
    </row>
    <row r="68" spans="1:12" s="5" customFormat="1" ht="15" customHeight="1" x14ac:dyDescent="0.2">
      <c r="A68" s="5" t="s">
        <v>14</v>
      </c>
      <c r="B68" s="23">
        <v>100430</v>
      </c>
      <c r="C68" s="24" t="s">
        <v>162</v>
      </c>
      <c r="D68" s="23" t="s">
        <v>44</v>
      </c>
      <c r="E68" s="25">
        <v>44916</v>
      </c>
      <c r="F68" s="25">
        <v>45997</v>
      </c>
      <c r="G68" s="26" t="s">
        <v>87</v>
      </c>
      <c r="H68" s="26" t="s">
        <v>163</v>
      </c>
      <c r="I68" s="27">
        <v>393</v>
      </c>
      <c r="J68" s="27">
        <v>0</v>
      </c>
      <c r="K68" s="27">
        <f t="shared" si="6"/>
        <v>393</v>
      </c>
      <c r="L68" s="28">
        <v>26928.36</v>
      </c>
    </row>
    <row r="69" spans="1:12" s="5" customFormat="1" ht="15" customHeight="1" x14ac:dyDescent="0.2">
      <c r="A69" s="5" t="s">
        <v>14</v>
      </c>
      <c r="B69" s="23">
        <v>100430</v>
      </c>
      <c r="C69" s="24" t="s">
        <v>206</v>
      </c>
      <c r="D69" s="23">
        <v>4</v>
      </c>
      <c r="E69" s="25">
        <v>45628</v>
      </c>
      <c r="F69" s="25">
        <v>46023</v>
      </c>
      <c r="G69" s="26" t="s">
        <v>146</v>
      </c>
      <c r="H69" s="26" t="s">
        <v>207</v>
      </c>
      <c r="I69" s="27">
        <v>40</v>
      </c>
      <c r="J69" s="27">
        <v>17</v>
      </c>
      <c r="K69" s="27">
        <f t="shared" si="6"/>
        <v>23</v>
      </c>
      <c r="L69" s="28">
        <v>1727.3</v>
      </c>
    </row>
    <row r="70" spans="1:12" s="5" customFormat="1" ht="15" customHeight="1" x14ac:dyDescent="0.2">
      <c r="A70" s="5" t="s">
        <v>14</v>
      </c>
      <c r="B70" s="23">
        <v>100430</v>
      </c>
      <c r="C70" s="24" t="s">
        <v>208</v>
      </c>
      <c r="D70" s="23">
        <v>4</v>
      </c>
      <c r="E70" s="25">
        <v>45628</v>
      </c>
      <c r="F70" s="25">
        <v>46023</v>
      </c>
      <c r="G70" s="26" t="s">
        <v>172</v>
      </c>
      <c r="H70" s="26" t="s">
        <v>212</v>
      </c>
      <c r="I70" s="27">
        <v>97</v>
      </c>
      <c r="J70" s="27">
        <v>97</v>
      </c>
      <c r="K70" s="27">
        <f t="shared" si="6"/>
        <v>0</v>
      </c>
      <c r="L70" s="28">
        <v>0</v>
      </c>
    </row>
    <row r="71" spans="1:12" s="5" customFormat="1" ht="15" customHeight="1" x14ac:dyDescent="0.2">
      <c r="A71" s="5" t="s">
        <v>14</v>
      </c>
      <c r="B71" s="23">
        <v>100430</v>
      </c>
      <c r="C71" s="24" t="s">
        <v>209</v>
      </c>
      <c r="D71" s="23" t="s">
        <v>44</v>
      </c>
      <c r="E71" s="25">
        <v>45628</v>
      </c>
      <c r="F71" s="25">
        <v>46388</v>
      </c>
      <c r="G71" s="26" t="s">
        <v>211</v>
      </c>
      <c r="H71" s="26" t="s">
        <v>213</v>
      </c>
      <c r="I71" s="27">
        <v>399.5</v>
      </c>
      <c r="J71" s="27">
        <v>399.5</v>
      </c>
      <c r="K71" s="27">
        <f t="shared" si="6"/>
        <v>0</v>
      </c>
      <c r="L71" s="28">
        <v>0</v>
      </c>
    </row>
    <row r="72" spans="1:12" s="5" customFormat="1" ht="15" customHeight="1" x14ac:dyDescent="0.2">
      <c r="A72" s="5" t="s">
        <v>14</v>
      </c>
      <c r="B72" s="23">
        <v>100430</v>
      </c>
      <c r="C72" s="24" t="s">
        <v>210</v>
      </c>
      <c r="D72" s="23">
        <v>4</v>
      </c>
      <c r="E72" s="25">
        <v>45628</v>
      </c>
      <c r="F72" s="25">
        <v>46023</v>
      </c>
      <c r="G72" s="26" t="s">
        <v>87</v>
      </c>
      <c r="H72" s="26" t="s">
        <v>214</v>
      </c>
      <c r="I72" s="27">
        <v>47.5</v>
      </c>
      <c r="J72" s="27">
        <v>0</v>
      </c>
      <c r="K72" s="27">
        <f t="shared" si="6"/>
        <v>47.5</v>
      </c>
      <c r="L72" s="28">
        <v>4370</v>
      </c>
    </row>
    <row r="73" spans="1:12" s="5" customFormat="1" ht="15" customHeight="1" x14ac:dyDescent="0.2">
      <c r="A73" s="5" t="s">
        <v>14</v>
      </c>
      <c r="B73" s="23">
        <v>100430</v>
      </c>
      <c r="C73" s="24" t="s">
        <v>235</v>
      </c>
      <c r="D73" s="23">
        <v>4</v>
      </c>
      <c r="E73" s="25">
        <v>45628</v>
      </c>
      <c r="F73" s="25">
        <v>46023</v>
      </c>
      <c r="G73" s="26" t="s">
        <v>236</v>
      </c>
      <c r="H73" s="26" t="s">
        <v>237</v>
      </c>
      <c r="I73" s="27">
        <v>120.5</v>
      </c>
      <c r="J73" s="27">
        <v>0</v>
      </c>
      <c r="K73" s="27">
        <f t="shared" si="6"/>
        <v>120.5</v>
      </c>
      <c r="L73" s="28">
        <v>0</v>
      </c>
    </row>
    <row r="74" spans="1:12" s="5" customFormat="1" ht="15" customHeight="1" x14ac:dyDescent="0.2">
      <c r="B74" s="23"/>
      <c r="C74" s="24"/>
      <c r="D74" s="23"/>
      <c r="E74" s="25"/>
      <c r="F74" s="25"/>
      <c r="G74" s="26"/>
      <c r="H74" s="26"/>
      <c r="I74" s="27"/>
      <c r="J74" s="27"/>
      <c r="K74" s="27"/>
      <c r="L74" s="28"/>
    </row>
    <row r="75" spans="1:12" s="5" customFormat="1" ht="15" customHeight="1" x14ac:dyDescent="0.2">
      <c r="B75" s="64"/>
      <c r="C75" s="65"/>
      <c r="D75" s="65"/>
      <c r="E75" s="66"/>
      <c r="F75" s="66"/>
      <c r="G75" s="35"/>
      <c r="H75" s="35"/>
      <c r="I75" s="43"/>
      <c r="J75" s="43"/>
      <c r="K75" s="43"/>
      <c r="L75" s="67"/>
    </row>
    <row r="76" spans="1:12" s="5" customFormat="1" ht="21.4" customHeight="1" x14ac:dyDescent="0.2">
      <c r="B76" s="1" t="s">
        <v>83</v>
      </c>
      <c r="C76" s="9">
        <f>COUNTIF($K$67:$K$75,"&gt;=0")</f>
        <v>7</v>
      </c>
      <c r="D76" s="15"/>
      <c r="E76" s="13"/>
      <c r="F76" s="13"/>
      <c r="G76" s="14" t="s">
        <v>84</v>
      </c>
      <c r="H76" s="9">
        <f>COUNTIF($K$67:$K$75,"&gt;0")</f>
        <v>5</v>
      </c>
      <c r="I76" s="1">
        <f>SUM(I67:I75)</f>
        <v>1273.5</v>
      </c>
      <c r="J76" s="1">
        <f>SUM(J67:J75)</f>
        <v>513.5</v>
      </c>
      <c r="K76" s="1">
        <f>SUM(K67:K75)</f>
        <v>760</v>
      </c>
      <c r="L76" s="2">
        <f>SUM(L67:L75)</f>
        <v>46493.180000000008</v>
      </c>
    </row>
    <row r="77" spans="1:12" s="50" customFormat="1" ht="30" customHeight="1" x14ac:dyDescent="0.25">
      <c r="B77" s="36"/>
      <c r="C77" s="36"/>
      <c r="D77" s="36"/>
      <c r="E77" s="36"/>
      <c r="F77" s="36"/>
      <c r="G77" s="68" t="s">
        <v>71</v>
      </c>
      <c r="H77" s="7"/>
      <c r="I77" s="44"/>
      <c r="J77" s="44"/>
      <c r="K77" s="44"/>
      <c r="L77" s="44"/>
    </row>
    <row r="78" spans="1:12" s="5" customFormat="1" ht="21.4" customHeight="1" x14ac:dyDescent="0.2">
      <c r="B78" s="1" t="s">
        <v>86</v>
      </c>
      <c r="C78" s="9">
        <f>C63+C76</f>
        <v>63</v>
      </c>
      <c r="D78" s="15"/>
      <c r="E78" s="13"/>
      <c r="F78" s="13"/>
      <c r="G78" s="14" t="s">
        <v>85</v>
      </c>
      <c r="H78" s="9">
        <f>H63+H76</f>
        <v>50</v>
      </c>
      <c r="I78" s="16">
        <f>I63+I76</f>
        <v>189720.26000000004</v>
      </c>
      <c r="J78" s="16">
        <f>J63+J76</f>
        <v>168325.71000000002</v>
      </c>
      <c r="K78" s="16">
        <f>K63+K76</f>
        <v>21394.550000000007</v>
      </c>
      <c r="L78" s="17">
        <f>L63+L76</f>
        <v>1647640.9699999997</v>
      </c>
    </row>
    <row r="79" spans="1:12" s="5" customFormat="1" ht="21.4" customHeight="1" x14ac:dyDescent="0.2">
      <c r="B79" s="1"/>
      <c r="C79" s="9"/>
      <c r="D79" s="15"/>
      <c r="E79" s="13"/>
      <c r="F79" s="13"/>
      <c r="G79" s="14"/>
      <c r="H79" s="9"/>
      <c r="I79" s="16"/>
      <c r="J79" s="16"/>
      <c r="K79" s="16"/>
      <c r="L79" s="17"/>
    </row>
    <row r="80" spans="1:12" s="5" customFormat="1" ht="21.4" customHeight="1" x14ac:dyDescent="0.2">
      <c r="B80" s="1"/>
      <c r="C80" s="9"/>
      <c r="D80" s="15"/>
      <c r="E80" s="13"/>
      <c r="F80" s="13"/>
      <c r="G80" s="14"/>
      <c r="H80" s="9"/>
      <c r="I80" s="16"/>
      <c r="J80" s="16"/>
      <c r="K80" s="16"/>
      <c r="L80" s="17"/>
    </row>
    <row r="81" spans="1:12" s="5" customFormat="1" ht="14.25" customHeight="1" x14ac:dyDescent="0.2">
      <c r="A81" s="5" t="s">
        <v>25</v>
      </c>
      <c r="B81" s="13">
        <v>100410</v>
      </c>
      <c r="C81" s="15" t="s">
        <v>20</v>
      </c>
      <c r="D81" s="15"/>
      <c r="E81" s="5" t="s">
        <v>54</v>
      </c>
      <c r="F81" s="6"/>
      <c r="G81" s="12" t="s">
        <v>100</v>
      </c>
      <c r="I81" s="1">
        <f>SUMIF($G$4:$G$76,"Alaska Milling &amp; Fabrication LLC",$I$4:$I$76)</f>
        <v>159.54000000000002</v>
      </c>
      <c r="J81" s="1">
        <f>SUMIF($G$4:$G$76,"Alaska Milling &amp; Fabrication LLC",$J$4:$J$76)</f>
        <v>13.77</v>
      </c>
      <c r="K81" s="1">
        <f>SUMIF($G$4:$G$76,"Alaska Milling &amp; Fabrication LLC",$K$4:$K$76)</f>
        <v>145.77000000000001</v>
      </c>
      <c r="L81" s="2">
        <f>SUMIF($G$4:$G$76,"Alaska Milling &amp; Fabrication LLC",$L$4:$L$76)</f>
        <v>144495.15</v>
      </c>
    </row>
    <row r="82" spans="1:12" s="5" customFormat="1" ht="14.25" customHeight="1" x14ac:dyDescent="0.2">
      <c r="B82" s="13">
        <v>100420</v>
      </c>
      <c r="C82" s="15" t="s">
        <v>21</v>
      </c>
      <c r="D82" s="15"/>
      <c r="E82" s="6"/>
      <c r="F82" s="6"/>
      <c r="G82" s="5" t="s">
        <v>43</v>
      </c>
      <c r="I82" s="1">
        <f>SUMIF($G$4:$G$76,"Alaska Musicwood Industries",$I$4:$I$76)</f>
        <v>0</v>
      </c>
      <c r="J82" s="1">
        <f>SUMIF($G$4:$G$76,"Alaska Musicwood Industries",$J$4:$J$76)</f>
        <v>0</v>
      </c>
      <c r="K82" s="1">
        <f>SUMIF($G$4:$G$76,"Alaska Musicwood Industries",$K$4:$K$76)</f>
        <v>0</v>
      </c>
      <c r="L82" s="2">
        <f>SUMIF($G$4:$G$76,"Alaska Musicwood Industries",$L$4:$L$76)</f>
        <v>0</v>
      </c>
    </row>
    <row r="83" spans="1:12" s="5" customFormat="1" ht="14.25" customHeight="1" x14ac:dyDescent="0.2">
      <c r="B83" s="13">
        <v>100430</v>
      </c>
      <c r="C83" s="15" t="s">
        <v>14</v>
      </c>
      <c r="D83" s="15"/>
      <c r="E83" s="6"/>
      <c r="F83" s="6"/>
      <c r="G83" s="5" t="s">
        <v>55</v>
      </c>
      <c r="I83" s="1">
        <f>SUMIF($G$4:$G$76,"Alaska Tonewood LLC",$I$4:$I$76)</f>
        <v>0</v>
      </c>
      <c r="J83" s="1">
        <f>SUMIF($G$4:$G$76,"Alaska Tonewood LLC",$J$4:$J$76)</f>
        <v>0</v>
      </c>
      <c r="K83" s="1">
        <f>SUMIF($G$4:$G$76,"Alaska Tonewood LLC",$K$4:$K$76)</f>
        <v>0</v>
      </c>
      <c r="L83" s="2">
        <f>SUMIF($G$4:$G$76,"Alaska Tonewood LLC",$L$4:$L$76)</f>
        <v>0</v>
      </c>
    </row>
    <row r="84" spans="1:12" s="5" customFormat="1" ht="14.25" customHeight="1" x14ac:dyDescent="0.2">
      <c r="B84" s="13">
        <v>100521</v>
      </c>
      <c r="C84" s="15" t="s">
        <v>12</v>
      </c>
      <c r="D84" s="15"/>
      <c r="E84" s="6"/>
      <c r="F84" s="6"/>
      <c r="G84" s="5" t="s">
        <v>4</v>
      </c>
      <c r="I84" s="1">
        <f>SUMIF($G$4:$G$76,"Alcan Forest Products LLP",$I$4:$I$76)</f>
        <v>28749.17</v>
      </c>
      <c r="J84" s="1">
        <f>SUMIF($G$4:$G$76,"Alcan Forest Products LLP",$J$4:$J$76)</f>
        <v>28749.17</v>
      </c>
      <c r="K84" s="1">
        <f>SUMIF($G$4:$G$76,"Alcan Forest Products LLP",$K$4:$K$76)</f>
        <v>0</v>
      </c>
      <c r="L84" s="2">
        <f>SUMIF($G$4:$G$76,"Alcan Forest Products LLP",$L$4:$L$76)</f>
        <v>0</v>
      </c>
    </row>
    <row r="85" spans="1:12" s="5" customFormat="1" ht="14.25" customHeight="1" x14ac:dyDescent="0.2">
      <c r="B85" s="13">
        <v>100522</v>
      </c>
      <c r="C85" s="15" t="s">
        <v>13</v>
      </c>
      <c r="D85" s="15"/>
      <c r="E85" s="6"/>
      <c r="F85" s="6"/>
      <c r="G85" s="5" t="s">
        <v>46</v>
      </c>
      <c r="I85" s="1">
        <f>SUMIF($G$4:$G$76,"Alcan Timber Inc",$I$4:$I$76)</f>
        <v>302.04000000000002</v>
      </c>
      <c r="J85" s="1">
        <f>SUMIF($G$4:$G$76,"Alcan Timber Inc",$J$4:$J$76)</f>
        <v>302.04000000000002</v>
      </c>
      <c r="K85" s="1">
        <f>SUMIF($G$4:$G$76,"Alcan Timber Inc",$K$4:$K$76)</f>
        <v>0</v>
      </c>
      <c r="L85" s="2">
        <f>SUMIF($G$4:$G$76,"Alcan Timber Inc",$L$4:$L$76)</f>
        <v>0</v>
      </c>
    </row>
    <row r="86" spans="1:12" s="5" customFormat="1" ht="14.25" customHeight="1" x14ac:dyDescent="0.2">
      <c r="B86" s="13">
        <v>100531</v>
      </c>
      <c r="C86" s="15" t="s">
        <v>22</v>
      </c>
      <c r="D86" s="15"/>
      <c r="E86" s="6"/>
      <c r="F86" s="6"/>
      <c r="G86" s="5" t="s">
        <v>108</v>
      </c>
      <c r="I86" s="1">
        <f>SUMIF($G$4:$G$76,"Andrew Cowan",$I$4:$I$76)</f>
        <v>4.1900000000000004</v>
      </c>
      <c r="J86" s="1">
        <f>SUMIF($G$4:$G$76,"Andrew Cowan",$J$4:$J$76)</f>
        <v>4.1900000000000004</v>
      </c>
      <c r="K86" s="1">
        <f>SUMIF($G$4:$G$76,"Andrew Cowan",$K$4:$K$76)</f>
        <v>0</v>
      </c>
      <c r="L86" s="2">
        <f>SUMIF($G$4:$G$76,"Andrew Cowan",$L$4:$L$76)</f>
        <v>255.34</v>
      </c>
    </row>
    <row r="87" spans="1:12" s="5" customFormat="1" ht="14.25" customHeight="1" x14ac:dyDescent="0.2">
      <c r="B87" s="13">
        <v>100532</v>
      </c>
      <c r="C87" s="15" t="s">
        <v>8</v>
      </c>
      <c r="D87" s="15"/>
      <c r="E87" s="6"/>
      <c r="F87" s="6"/>
      <c r="G87" s="5" t="s">
        <v>87</v>
      </c>
      <c r="I87" s="1">
        <f>SUMIF($G$4:$G$76,"Andrews and Sons LLC",$I$4:$I$76)</f>
        <v>616.5</v>
      </c>
      <c r="J87" s="1">
        <f>SUMIF($G$4:$G$76,"Andrews and Sons LLC",$J$4:$J$76)</f>
        <v>0</v>
      </c>
      <c r="K87" s="1">
        <f>SUMIF($G$4:$G$76,"Andrews and Sons LLC",$K$4:$K$76)</f>
        <v>616.5</v>
      </c>
      <c r="L87" s="2">
        <f>SUMIF($G$4:$G$76,"Andrews and Sons LLC",$L$4:$L$76)</f>
        <v>44765.880000000005</v>
      </c>
    </row>
    <row r="88" spans="1:12" s="5" customFormat="1" ht="14.25" customHeight="1" x14ac:dyDescent="0.2">
      <c r="B88" s="13">
        <v>100533</v>
      </c>
      <c r="C88" s="15" t="s">
        <v>11</v>
      </c>
      <c r="D88" s="15"/>
      <c r="E88" s="6"/>
      <c r="F88" s="6"/>
      <c r="G88" s="5" t="s">
        <v>146</v>
      </c>
      <c r="I88" s="1">
        <f>SUMIF($G$4:$G$76,"Austin Chapman",$I$4:$I$76)</f>
        <v>40</v>
      </c>
      <c r="J88" s="1">
        <f>SUMIF($G$4:$G$76,"Austin Chapman",$J$4:$J$76)</f>
        <v>17</v>
      </c>
      <c r="K88" s="1">
        <f>SUMIF($G$4:$G$76,"Austin Chapman",$K$4:$K$76)</f>
        <v>23</v>
      </c>
      <c r="L88" s="2">
        <f>SUMIF($G$4:$G$76,"Austin Chapman",$L$4:$L$76)</f>
        <v>1727.3</v>
      </c>
    </row>
    <row r="89" spans="1:12" s="5" customFormat="1" ht="14.25" customHeight="1" x14ac:dyDescent="0.2">
      <c r="B89" s="13">
        <v>100534</v>
      </c>
      <c r="C89" s="15" t="s">
        <v>23</v>
      </c>
      <c r="D89" s="15"/>
      <c r="E89" s="6"/>
      <c r="F89" s="6"/>
      <c r="G89" s="5" t="s">
        <v>151</v>
      </c>
      <c r="I89" s="1">
        <f>SUMIF($G$4:$G$76,"Ben Newton",$I$4:$I$76)</f>
        <v>0</v>
      </c>
      <c r="J89" s="1">
        <f>SUMIF($G$4:$G$76,"Ben Newton",$J$4:$J$76)</f>
        <v>0</v>
      </c>
      <c r="K89" s="1">
        <f>SUMIF($G$4:$G$76,"Ben Newton",$K$4:$K$76)</f>
        <v>0</v>
      </c>
      <c r="L89" s="2">
        <f>SUMIF($G$4:$G$76,"Ben Newton",$L$4:$L$76)</f>
        <v>0</v>
      </c>
    </row>
    <row r="90" spans="1:12" s="5" customFormat="1" ht="14.25" customHeight="1" x14ac:dyDescent="0.2">
      <c r="B90" s="13">
        <v>100535</v>
      </c>
      <c r="C90" s="15" t="s">
        <v>6</v>
      </c>
      <c r="D90" s="15"/>
      <c r="E90" s="6"/>
      <c r="F90" s="6"/>
      <c r="G90" s="5" t="s">
        <v>142</v>
      </c>
      <c r="I90" s="1">
        <f>SUMIF($G$4:$G$76,"Brent Cole",$I$4:$I$76)</f>
        <v>0</v>
      </c>
      <c r="J90" s="1">
        <f>SUMIF($G$4:$G$76,"Brent Cole",$J$4:$J$76)</f>
        <v>0</v>
      </c>
      <c r="K90" s="1">
        <f>SUMIF($G$4:$G$76,"Brent Cole",$K$4:$K$76)</f>
        <v>0</v>
      </c>
      <c r="L90" s="2">
        <f>SUMIF($G$4:$G$76,"Brent Cole",$L$4:$L$76)</f>
        <v>0</v>
      </c>
    </row>
    <row r="91" spans="1:12" s="5" customFormat="1" ht="14.25" customHeight="1" x14ac:dyDescent="0.2">
      <c r="B91" s="13">
        <v>100551</v>
      </c>
      <c r="C91" s="15" t="s">
        <v>9</v>
      </c>
      <c r="D91" s="15"/>
      <c r="E91" s="6"/>
      <c r="F91" s="6"/>
      <c r="G91" s="5" t="s">
        <v>147</v>
      </c>
      <c r="I91" s="1">
        <f>SUMIF($G$4:$G$76,"Coeur Alaska Inc.",$I$4:$I$76)</f>
        <v>1302.57</v>
      </c>
      <c r="J91" s="1">
        <f>SUMIF($G$4:$G$76,"Coeur Alaska Inc.",$J$4:$J$76)</f>
        <v>0</v>
      </c>
      <c r="K91" s="1">
        <f>SUMIF($G$4:$G$76,"Coeur Alaska Inc.",$K$4:$K$76)</f>
        <v>1302.57</v>
      </c>
      <c r="L91" s="2">
        <f>SUMIF($G$4:$G$76,"Coeur Alaska Inc.",$L$4:$L$76)</f>
        <v>5408.98</v>
      </c>
    </row>
    <row r="92" spans="1:12" s="5" customFormat="1" ht="14.25" customHeight="1" x14ac:dyDescent="0.2">
      <c r="B92" s="13">
        <v>100552</v>
      </c>
      <c r="C92" s="15" t="s">
        <v>10</v>
      </c>
      <c r="D92" s="15"/>
      <c r="E92" s="6"/>
      <c r="F92" s="6"/>
      <c r="G92" s="5" t="s">
        <v>123</v>
      </c>
      <c r="I92" s="1">
        <f>SUMIF($G$4:$G$76,"Daniel Fanning",$I$4:$I$76)</f>
        <v>161.22</v>
      </c>
      <c r="J92" s="1">
        <f>SUMIF($G$4:$G$76,"Daniel Fanning",$J$4:$J$76)</f>
        <v>0</v>
      </c>
      <c r="K92" s="1">
        <f>SUMIF($G$4:$G$76,"Daniel Fanning",$K$4:$K$76)</f>
        <v>161.22</v>
      </c>
      <c r="L92" s="2">
        <f>SUMIF($G$4:$G$76,"Daniel Fanning",$L$4:$L$76)</f>
        <v>22783.21</v>
      </c>
    </row>
    <row r="93" spans="1:12" s="5" customFormat="1" ht="14.25" customHeight="1" x14ac:dyDescent="0.2">
      <c r="B93" s="13">
        <v>100554</v>
      </c>
      <c r="C93" s="15" t="s">
        <v>7</v>
      </c>
      <c r="D93" s="15"/>
      <c r="E93" s="6"/>
      <c r="F93" s="6"/>
      <c r="G93" s="5" t="s">
        <v>172</v>
      </c>
      <c r="I93" s="1">
        <f>SUMIF($G$4:$G$76,"David A. Moyer",$I$4:$I$76)</f>
        <v>97</v>
      </c>
      <c r="J93" s="1">
        <f>SUMIF($G$4:$G$76,"David A. Moyer",$J$4:$J$76)</f>
        <v>97</v>
      </c>
      <c r="K93" s="1">
        <f>SUMIF($G$4:$G$76,"David A. Moyer",$K$4:$K$76)</f>
        <v>0</v>
      </c>
      <c r="L93" s="2">
        <f>SUMIF($G$4:$G$76,"David A. Moyer",$L$4:$L$76)</f>
        <v>0</v>
      </c>
    </row>
    <row r="94" spans="1:12" s="5" customFormat="1" ht="14.25" customHeight="1" x14ac:dyDescent="0.2">
      <c r="B94" s="13"/>
      <c r="C94" s="15"/>
      <c r="D94" s="15"/>
      <c r="E94" s="6"/>
      <c r="F94" s="6"/>
      <c r="G94" s="5" t="s">
        <v>239</v>
      </c>
      <c r="I94" s="1">
        <f>SUMIF($G$4:$G$76,"David Stirling",$I$4:$I$76)</f>
        <v>6.61</v>
      </c>
      <c r="J94" s="1">
        <f>SUMIF($G$4:$G$76,"David Stirling",$J$4:$J$76)</f>
        <v>0</v>
      </c>
      <c r="K94" s="1">
        <f>SUMIF($G$4:$G$76,"David Stirling",$K$4:$K$76)</f>
        <v>6.61</v>
      </c>
      <c r="L94" s="2">
        <f>SUMIF($G$4:$G$76,"David Stirling",$L$4:$L$76)</f>
        <v>1206.8</v>
      </c>
    </row>
    <row r="95" spans="1:12" s="5" customFormat="1" ht="14.25" customHeight="1" x14ac:dyDescent="0.2">
      <c r="D95" s="15"/>
      <c r="E95" s="6"/>
      <c r="F95" s="6"/>
      <c r="G95" s="5" t="s">
        <v>99</v>
      </c>
      <c r="I95" s="1">
        <f>SUMIF($G$4:$G$76,"Ernie Eads",$I$4:$I$76)</f>
        <v>0</v>
      </c>
      <c r="J95" s="1">
        <f>SUMIF($G$4:$G$76,"Ernie Eads",$J$4:$J$76)</f>
        <v>0</v>
      </c>
      <c r="K95" s="1">
        <f>SUMIF($G$4:$G$76,"Ernie Eads",$K$4:$K$76)</f>
        <v>0</v>
      </c>
      <c r="L95" s="2">
        <f>SUMIF($G$4:$G$76,"Ernie Eads",$L$4:$L$76)</f>
        <v>0</v>
      </c>
    </row>
    <row r="96" spans="1:12" s="5" customFormat="1" ht="14.25" customHeight="1" x14ac:dyDescent="0.2">
      <c r="B96" s="13"/>
      <c r="C96" s="15"/>
      <c r="D96" s="15"/>
      <c r="E96" s="6"/>
      <c r="F96" s="6"/>
      <c r="G96" s="5" t="s">
        <v>211</v>
      </c>
      <c r="I96" s="1">
        <f>SUMIF($G$4:$G$76,"Evergreen Alaska Inc.",$I$4:$I$76)</f>
        <v>399.5</v>
      </c>
      <c r="J96" s="1">
        <f>SUMIF($G$4:$G$76,"Evergreen Alaska Inc.",$J$4:$J$76)</f>
        <v>399.5</v>
      </c>
      <c r="K96" s="1">
        <f>SUMIF($G$4:$G$76,"Evergreen Alaska Inc.",$K$4:$K$76)</f>
        <v>0</v>
      </c>
      <c r="L96" s="2">
        <f>SUMIF($G$4:$G$76,"Evergreen Alaska Inc.",$L$4:$L$76)</f>
        <v>0</v>
      </c>
    </row>
    <row r="97" spans="2:12" s="5" customFormat="1" ht="14.25" customHeight="1" x14ac:dyDescent="0.2">
      <c r="B97" s="13"/>
      <c r="C97" s="15"/>
      <c r="D97" s="15"/>
      <c r="E97" s="6"/>
      <c r="F97" s="6"/>
      <c r="G97" s="5" t="s">
        <v>134</v>
      </c>
      <c r="I97" s="1">
        <f>SUMIF($G$4:$G$76,"Fair &amp; Square Lumber &amp; Milling",$I$4:$I$76)</f>
        <v>0</v>
      </c>
      <c r="J97" s="1">
        <f>SUMIF($G$4:$G$76,"Fair &amp; Square Lumber &amp; Milling",$J$4:$J$76)</f>
        <v>0</v>
      </c>
      <c r="K97" s="1">
        <f>SUMIF($G$4:$G$76,"Fair &amp; Square Lumber &amp; Milling",$K$4:$K$76)</f>
        <v>0</v>
      </c>
      <c r="L97" s="2">
        <f>SUMIF($G$4:$G$76,"Fair &amp; Square Lumber &amp; Milling",$L$4:$L$76)</f>
        <v>0</v>
      </c>
    </row>
    <row r="98" spans="2:12" s="5" customFormat="1" ht="14.25" customHeight="1" x14ac:dyDescent="0.2">
      <c r="B98" s="13"/>
      <c r="C98" s="15"/>
      <c r="D98" s="15"/>
      <c r="E98" s="6"/>
      <c r="F98" s="6"/>
      <c r="G98" s="22" t="s">
        <v>195</v>
      </c>
      <c r="I98" s="1">
        <f>SUMIF($G$4:$G$76,"Frederick LaCour",$I$4:$I$76)</f>
        <v>0</v>
      </c>
      <c r="J98" s="1">
        <f>SUMIF($G$4:$G$76,"Frederick LaCour",$J$4:$J$76)</f>
        <v>0</v>
      </c>
      <c r="K98" s="1">
        <f>SUMIF($G$4:$G$76,"Frederick LaCour",$K$4:$K$76)</f>
        <v>0</v>
      </c>
      <c r="L98" s="2">
        <f>SUMIF($G$4:$G$76,"Frederick LaCour",$L$4:$L$76)</f>
        <v>0</v>
      </c>
    </row>
    <row r="99" spans="2:12" s="5" customFormat="1" ht="14.25" customHeight="1" x14ac:dyDescent="0.2">
      <c r="B99" s="13"/>
      <c r="C99" s="15"/>
      <c r="D99" s="15"/>
      <c r="E99" s="6"/>
      <c r="F99" s="6"/>
      <c r="G99" s="5" t="s">
        <v>157</v>
      </c>
      <c r="I99" s="1">
        <f>SUMIF($G$4:$G$76,"Gordon W Chew",$I$4:$I$76)</f>
        <v>35.47</v>
      </c>
      <c r="J99" s="1">
        <f>SUMIF($G$4:$G$76,"Gordon W Chew",$J$4:$J$76)</f>
        <v>29.02</v>
      </c>
      <c r="K99" s="1">
        <f>SUMIF($G$4:$G$76,"Gordon W Chew",$K$4:$K$76)</f>
        <v>6.4499999999999993</v>
      </c>
      <c r="L99" s="2">
        <f>SUMIF($G$4:$G$76,"Gordon W Chew",$L$4:$L$76)</f>
        <v>13.61</v>
      </c>
    </row>
    <row r="100" spans="2:12" s="5" customFormat="1" ht="14.25" customHeight="1" x14ac:dyDescent="0.2">
      <c r="B100" s="13"/>
      <c r="C100" s="15"/>
      <c r="D100" s="13"/>
      <c r="E100" s="6"/>
      <c r="F100" s="6"/>
      <c r="G100" s="30" t="s">
        <v>29</v>
      </c>
      <c r="I100" s="1">
        <f>SUMIF($G$4:$G$76,"Hecla Greens Creek Mining",$I$4:$I$76)</f>
        <v>895.92000000000007</v>
      </c>
      <c r="J100" s="1">
        <f>SUMIF($G$4:$G$76,"Hecla Greens Creek Mining",$J$4:$J$76)</f>
        <v>186.33</v>
      </c>
      <c r="K100" s="1">
        <f>SUMIF($G$4:$G$76,"Hecla Greens Creek Mining",$K$4:$K$76)</f>
        <v>709.59</v>
      </c>
      <c r="L100" s="2">
        <f>SUMIF($G$4:$G$76,"Hecla Greens Creek Mining",$L$4:$L$76)</f>
        <v>10766.84</v>
      </c>
    </row>
    <row r="101" spans="2:12" s="5" customFormat="1" ht="14.25" customHeight="1" x14ac:dyDescent="0.2">
      <c r="B101" s="13"/>
      <c r="C101" s="15"/>
      <c r="D101" s="13"/>
      <c r="E101" s="6"/>
      <c r="F101" s="6"/>
      <c r="G101" s="5" t="s">
        <v>30</v>
      </c>
      <c r="I101" s="1">
        <f>SUMIF($G$4:$G$76,"Henry Drechnowicz",$I$4:$I$76)</f>
        <v>0</v>
      </c>
      <c r="J101" s="1">
        <f>SUMIF($G$4:$G$76,"Henry Drechnowicz",$J$4:$J$76)</f>
        <v>0</v>
      </c>
      <c r="K101" s="1">
        <f>SUMIF($G$4:$G$76,"Henry Drechnowicz",$K$4:$K$76)</f>
        <v>0</v>
      </c>
      <c r="L101" s="2">
        <f>SUMIF($G$4:$G$76,"Henry Drechnowicz",$L$4:$L$76)</f>
        <v>0</v>
      </c>
    </row>
    <row r="102" spans="2:12" s="5" customFormat="1" ht="14.25" customHeight="1" x14ac:dyDescent="0.2">
      <c r="B102" s="13"/>
      <c r="C102" s="15"/>
      <c r="D102" s="15"/>
      <c r="E102" s="6"/>
      <c r="F102" s="6"/>
      <c r="G102" s="5" t="s">
        <v>5</v>
      </c>
      <c r="I102" s="1">
        <f>SUMIF($G$4:$G$76,"Icy Straits Lumber &amp; Mill",$I$4:$I$76)</f>
        <v>504.94000000000005</v>
      </c>
      <c r="J102" s="1">
        <f t="array" ref="J102">SUMIF($G$4:$G$76,"Icy Straits Lumber &amp; Mill",$J$4:$J$76)</f>
        <v>175.95</v>
      </c>
      <c r="K102" s="1">
        <f t="array" ref="K102">SUMIF($G$4:$G$76,"Icy Straits Lumber &amp; Mill",$K$4:$K$76)</f>
        <v>328.99</v>
      </c>
      <c r="L102" s="2">
        <f t="array" ref="L102">SUMIF($G$4:$G$76,"Icy Straits Lumber &amp; Mill",$L$4:$L$76)</f>
        <v>12362.630000000001</v>
      </c>
    </row>
    <row r="103" spans="2:12" s="5" customFormat="1" ht="14.25" customHeight="1" x14ac:dyDescent="0.2">
      <c r="B103" s="13"/>
      <c r="C103" s="15"/>
      <c r="D103" s="15"/>
      <c r="E103" s="6"/>
      <c r="F103" s="6"/>
      <c r="G103" s="5" t="s">
        <v>105</v>
      </c>
      <c r="I103" s="1">
        <f>SUMIF($G$4:$G$76,"James Stevens",$I$4:$I$76)</f>
        <v>156</v>
      </c>
      <c r="J103" s="1">
        <f>SUMIF($G$4:$G$76,"James Stevens",$J$4:$J$76)</f>
        <v>0</v>
      </c>
      <c r="K103" s="1">
        <f>SUMIF($G$4:$G$76,"James Stevens",$K$4:$K$76)</f>
        <v>156</v>
      </c>
      <c r="L103" s="2">
        <f>SUMIF($G$4:$G$76,"James Stevens",$L$4:$L$76)</f>
        <v>31251.96</v>
      </c>
    </row>
    <row r="104" spans="2:12" s="5" customFormat="1" ht="14.25" customHeight="1" x14ac:dyDescent="0.2">
      <c r="B104" s="13"/>
      <c r="C104" s="15"/>
      <c r="D104" s="15"/>
      <c r="E104" s="6"/>
      <c r="F104" s="6"/>
      <c r="G104" s="5" t="s">
        <v>102</v>
      </c>
      <c r="I104" s="1">
        <f>SUMIF($G$4:$G$76,"Jerry Baker",$I$4:$I$76)</f>
        <v>0</v>
      </c>
      <c r="J104" s="1">
        <f>SUMIF($G$4:$G$76,"Jerry Baker",$J$4:$J$76)</f>
        <v>0</v>
      </c>
      <c r="K104" s="1">
        <f>SUMIF($G$4:$G$76,"Jerry Baker",$K$4:$K$76)</f>
        <v>0</v>
      </c>
      <c r="L104" s="2">
        <f>SUMIF($G$4:$G$76,"Jerry Baker",$L$4:$L$76)</f>
        <v>0</v>
      </c>
    </row>
    <row r="105" spans="2:12" s="5" customFormat="1" ht="14.25" customHeight="1" x14ac:dyDescent="0.2">
      <c r="B105" s="13"/>
      <c r="C105" s="15"/>
      <c r="D105" s="15"/>
      <c r="E105" s="6"/>
      <c r="F105" s="6"/>
      <c r="G105" s="5" t="s">
        <v>33</v>
      </c>
      <c r="I105" s="1">
        <f>SUMIF($G$4:$G$75,"Jerod Cook",$I$4:$I$75)</f>
        <v>0</v>
      </c>
      <c r="J105" s="1">
        <f>SUMIF($G$4:$G$76,"Jerod Cook",$J$4:$J$76)</f>
        <v>0</v>
      </c>
      <c r="K105" s="1">
        <f>SUMIF($G$4:$G$76,"Jerod Cook",$K$4:$K$76)</f>
        <v>0</v>
      </c>
      <c r="L105" s="2">
        <f>SUMIF($G$4:$G$76,"Jerod Cook",$L$4:$L$76)</f>
        <v>0</v>
      </c>
    </row>
    <row r="106" spans="2:12" s="5" customFormat="1" ht="14.25" customHeight="1" x14ac:dyDescent="0.2">
      <c r="B106" s="15"/>
      <c r="C106" s="15"/>
      <c r="D106" s="15"/>
      <c r="E106" s="6"/>
      <c r="F106" s="6"/>
      <c r="G106" s="5" t="s">
        <v>101</v>
      </c>
      <c r="I106" s="1">
        <f>SUMIF($G$4:$G$75,"JK Forest Products LLC",$I$4:$I$75)</f>
        <v>1207.1099999999999</v>
      </c>
      <c r="J106" s="1">
        <f>SUMIF($G$4:$G$76,"JK Forest Products LLC",$J$4:$J$76)</f>
        <v>407.92</v>
      </c>
      <c r="K106" s="1">
        <f>SUMIF($G$4:$G$76,"JK Forest Products LLC",$K$4:$K$76)</f>
        <v>799.18999999999994</v>
      </c>
      <c r="L106" s="2">
        <f>SUMIF($G$4:$G$76,"JK Forest Products LLC",$L$4:$L$76)</f>
        <v>20567.66</v>
      </c>
    </row>
    <row r="107" spans="2:12" s="5" customFormat="1" ht="14.25" customHeight="1" x14ac:dyDescent="0.2">
      <c r="B107" s="15"/>
      <c r="C107" s="15"/>
      <c r="D107" s="15"/>
      <c r="E107" s="6"/>
      <c r="F107" s="6"/>
      <c r="G107" s="5" t="s">
        <v>150</v>
      </c>
      <c r="I107" s="1">
        <f>SUMIF($G$4:$G$75,"Joshua Shoop",$I$4:$I$75)</f>
        <v>0</v>
      </c>
      <c r="J107" s="1">
        <f>SUMIF($G$4:$G$76,"Joshua Shoop",$J$4:$J$76)</f>
        <v>0</v>
      </c>
      <c r="K107" s="1">
        <f>SUMIF($G$4:$G$76,"Joshua Shoop",$K$4:$K$76)</f>
        <v>0</v>
      </c>
      <c r="L107" s="2">
        <f>SUMIF($G$4:$G$76,"Joshua Shoop",$L$4:$L$76)</f>
        <v>0</v>
      </c>
    </row>
    <row r="108" spans="2:12" s="5" customFormat="1" ht="14.25" customHeight="1" x14ac:dyDescent="0.2">
      <c r="B108" s="15"/>
      <c r="C108" s="15"/>
      <c r="D108" s="15"/>
      <c r="E108" s="6"/>
      <c r="F108" s="6"/>
      <c r="G108" s="5" t="s">
        <v>45</v>
      </c>
      <c r="I108" s="1">
        <f>SUMIF($G$4:$G$76,"K &amp; D Lumber",$I$4:$I$76)</f>
        <v>188.75</v>
      </c>
      <c r="J108" s="1">
        <f>SUMIF($G$4:$G$76,"K &amp; D Lumber",$J$4:$J$76)</f>
        <v>0</v>
      </c>
      <c r="K108" s="1">
        <f>SUMIF($G$4:$G$76,"K &amp; D Lumber",$K$4:$K$76)</f>
        <v>188.75</v>
      </c>
      <c r="L108" s="2">
        <f>SUMIF($G$4:$G$76,"K &amp; D Lumber",$L$4:$L$76)</f>
        <v>83796.5</v>
      </c>
    </row>
    <row r="109" spans="2:12" s="5" customFormat="1" ht="14.25" customHeight="1" x14ac:dyDescent="0.2">
      <c r="B109" s="15"/>
      <c r="C109" s="15"/>
      <c r="D109" s="15"/>
      <c r="E109" s="6"/>
      <c r="F109" s="6"/>
      <c r="G109" s="5" t="s">
        <v>114</v>
      </c>
      <c r="I109" s="1">
        <f>SUMIF($G$4:$G$76,"Kari Baekkelund",$I$4:$I$76)</f>
        <v>0</v>
      </c>
      <c r="J109" s="1">
        <f>SUMIF($G$4:$G$76,"Kari Baekkelund",$J$4:$J$76)</f>
        <v>0</v>
      </c>
      <c r="K109" s="1">
        <f>SUMIF($G$4:$G$76,"Kari Baekkelund",$K$4:$K$76)</f>
        <v>0</v>
      </c>
      <c r="L109" s="2">
        <f>SUMIF($G$4:$G$76,"Kari Baekkelund",$L$4:$L$76)</f>
        <v>0</v>
      </c>
    </row>
    <row r="110" spans="2:12" s="5" customFormat="1" ht="14.25" customHeight="1" x14ac:dyDescent="0.2">
      <c r="B110" s="15"/>
      <c r="C110" s="15"/>
      <c r="D110" s="15"/>
      <c r="E110" s="6"/>
      <c r="F110" s="6"/>
      <c r="G110" s="5" t="s">
        <v>140</v>
      </c>
      <c r="I110" s="1">
        <f>SUMIF($G$4:$G$76,"Kevin Merry",$I$4:$I$76)</f>
        <v>0</v>
      </c>
      <c r="J110" s="1">
        <f>SUMIF($G$4:$G$76,"Kevin Merry",$J$4:$J$76)</f>
        <v>0</v>
      </c>
      <c r="K110" s="1">
        <f>SUMIF($G$4:$G$76,"Kevin Merry",$K$4:$K$76)</f>
        <v>0</v>
      </c>
      <c r="L110" s="2">
        <f>SUMIF($G$4:$G$76,"Kevin Merry",$L$4:$L$76)</f>
        <v>0</v>
      </c>
    </row>
    <row r="111" spans="2:12" s="5" customFormat="1" ht="14.25" customHeight="1" x14ac:dyDescent="0.2">
      <c r="B111" s="15"/>
      <c r="C111" s="15"/>
      <c r="D111" s="15"/>
      <c r="E111" s="6"/>
      <c r="F111" s="6"/>
      <c r="G111" s="5" t="s">
        <v>230</v>
      </c>
      <c r="I111" s="1">
        <f>SUMIF($G$4:$G$76,"Korbin Crew",$I$4:$I$76)</f>
        <v>15.89</v>
      </c>
      <c r="J111" s="1">
        <f>SUMIF($G$4:$G$76,"Korbin Crew",$J$4:$J$76)</f>
        <v>0</v>
      </c>
      <c r="K111" s="1">
        <f>SUMIF($G$4:$G$76,"Korbin Crew",$K$4:$K$76)</f>
        <v>15.89</v>
      </c>
      <c r="L111" s="2">
        <f>SUMIF($G$4:$G$76,"Korbin Crew",$L$4:$L$76)</f>
        <v>1617.38</v>
      </c>
    </row>
    <row r="112" spans="2:12" s="5" customFormat="1" ht="14.25" customHeight="1" x14ac:dyDescent="0.2">
      <c r="B112" s="15"/>
      <c r="C112" s="15"/>
      <c r="D112" s="15"/>
      <c r="E112" s="6"/>
      <c r="F112" s="6"/>
      <c r="G112" s="5" t="s">
        <v>72</v>
      </c>
      <c r="I112" s="1">
        <f>SUMIF($G$4:$G$76,"Luther J. Coby",$I$4:$I$76)</f>
        <v>2.84</v>
      </c>
      <c r="J112" s="1">
        <f>SUMIF($G$4:$G$76,"Luther J. Coby",$J$4:$J$76)</f>
        <v>2.84</v>
      </c>
      <c r="K112" s="1">
        <f>SUMIF($G$4:$G$76,"Luther J. Coby",$K$4:$K$76)</f>
        <v>0</v>
      </c>
      <c r="L112" s="2">
        <f>SUMIF($G$4:$G$76,"Luther J. Coby",$L$4:$L$76)</f>
        <v>0</v>
      </c>
    </row>
    <row r="113" spans="1:12" s="5" customFormat="1" ht="14.25" customHeight="1" x14ac:dyDescent="0.2">
      <c r="B113" s="15"/>
      <c r="C113" s="15"/>
      <c r="D113" s="15"/>
      <c r="E113" s="6"/>
      <c r="F113" s="6"/>
      <c r="G113" s="5" t="s">
        <v>136</v>
      </c>
      <c r="I113" s="1">
        <f>SUMIF($G$4:$G$76,"Mark Mitchell",$I$4:$I$76)</f>
        <v>0</v>
      </c>
      <c r="J113" s="1">
        <f>SUMIF($G$4:$G$76,"Mark Mitchell",$J$4:$J$76)</f>
        <v>0</v>
      </c>
      <c r="K113" s="1">
        <f>SUMIF($G$4:$G$76,"Mark Mitchell",$K$4:$K$76)</f>
        <v>0</v>
      </c>
      <c r="L113" s="2">
        <f>SUMIF($G$4:$G$76,"Mark Mitchell",$L$4:$L$76)</f>
        <v>0</v>
      </c>
    </row>
    <row r="114" spans="1:12" s="5" customFormat="1" ht="14.25" customHeight="1" x14ac:dyDescent="0.2">
      <c r="B114" s="15"/>
      <c r="C114" s="15"/>
      <c r="D114" s="15"/>
      <c r="E114" s="6"/>
      <c r="F114" s="6"/>
      <c r="G114" s="5" t="s">
        <v>137</v>
      </c>
      <c r="I114" s="1">
        <f>SUMIF($G$4:$G$76,"Mike Matney",$I$4:$I$76)</f>
        <v>131.97999999999999</v>
      </c>
      <c r="J114" s="1">
        <f>SUMIF($G$4:$G$76,"Mike Matney",$J$4:$J$76)</f>
        <v>87.11</v>
      </c>
      <c r="K114" s="1">
        <f>SUMIF($G$4:$G$76,"Mike Matney",$K$4:$K$76)</f>
        <v>44.86999999999999</v>
      </c>
      <c r="L114" s="2">
        <f>SUMIF($G$4:$G$76,"Mike Matney",$L$4:$L$76)</f>
        <v>6516.2</v>
      </c>
    </row>
    <row r="115" spans="1:12" s="5" customFormat="1" ht="14.25" customHeight="1" x14ac:dyDescent="0.2">
      <c r="B115" s="15"/>
      <c r="C115" s="15"/>
      <c r="D115" s="15"/>
      <c r="E115" s="6"/>
      <c r="F115" s="6"/>
      <c r="G115" s="5" t="s">
        <v>42</v>
      </c>
      <c r="I115" s="1">
        <f>SUMIF($G$4:$G$76,"Micheal B Allen Jr",$I$4:$I$76)</f>
        <v>12454.63</v>
      </c>
      <c r="J115" s="1">
        <f>SUMIF($G$4:$G$76,"Micheal B Allen Jr",$J$4:$J$76)</f>
        <v>7330.63</v>
      </c>
      <c r="K115" s="1">
        <f>SUMIF($G$4:$G$76,"Micheal B Allen Jr",$K$4:$K$76)</f>
        <v>5123.9999999999991</v>
      </c>
      <c r="L115" s="2">
        <f>SUMIF($G$4:$G$76,"Micheal B Allen Jr",$L$4:$L$76)</f>
        <v>41064.629999999997</v>
      </c>
    </row>
    <row r="116" spans="1:12" s="5" customFormat="1" ht="14.25" customHeight="1" x14ac:dyDescent="0.2">
      <c r="B116" s="15"/>
      <c r="C116" s="15"/>
      <c r="D116" s="15"/>
      <c r="E116" s="6"/>
      <c r="F116" s="6"/>
      <c r="G116" s="5" t="s">
        <v>183</v>
      </c>
      <c r="I116" s="1">
        <f>SUMIF($G$4:$G$76,"Mitkof Milling, LLC",$I$4:$I$76)</f>
        <v>7</v>
      </c>
      <c r="J116" s="1">
        <f>SUMIF($G$4:$G$76,"Mitkof Milling, LLC",$J$4:$J$76)</f>
        <v>5.5</v>
      </c>
      <c r="K116" s="1">
        <f>SUMIF($G$4:$G$76,"Mitkof Milling, LLC",$K$4:$K$76)</f>
        <v>1.5</v>
      </c>
      <c r="L116" s="2">
        <f>SUMIF($G$4:$G$76,"Mitkof Milling, LLC",$L$4:$L$76)</f>
        <v>12.35</v>
      </c>
    </row>
    <row r="117" spans="1:12" s="5" customFormat="1" ht="14.25" customHeight="1" x14ac:dyDescent="0.2">
      <c r="B117" s="15"/>
      <c r="C117" s="15"/>
      <c r="D117" s="15"/>
      <c r="E117" s="6"/>
      <c r="F117" s="6"/>
      <c r="G117" s="5" t="s">
        <v>133</v>
      </c>
      <c r="I117" s="1">
        <f>SUMIF($G$4:$G$76,"Patrick Fowler",$I$4:$I$76)</f>
        <v>0</v>
      </c>
      <c r="J117" s="1">
        <f>SUMIF($G$4:$G$76,"Patrick Fowler",$J$4:$J$76)</f>
        <v>0</v>
      </c>
      <c r="K117" s="1">
        <f>SUMIF($G$4:$G$76,"Patrick Fowler",$K$4:$K$76)</f>
        <v>0</v>
      </c>
      <c r="L117" s="2">
        <f>SUMIF($G$4:$G$76,"Patrick Fowler",$L$4:$L$76)</f>
        <v>0</v>
      </c>
    </row>
    <row r="118" spans="1:12" s="5" customFormat="1" ht="14.25" customHeight="1" x14ac:dyDescent="0.2">
      <c r="B118" s="15"/>
      <c r="C118" s="15"/>
      <c r="D118" s="15"/>
      <c r="E118" s="6"/>
      <c r="F118" s="6"/>
      <c r="G118" s="5" t="s">
        <v>141</v>
      </c>
      <c r="I118" s="1">
        <f>SUMIF($G$4:$G$76,"Peak Engineering",$I$4:$I$76)</f>
        <v>357.53999999999996</v>
      </c>
      <c r="J118" s="1">
        <f>SUMIF($G$4:$G$76,"Peak Engineering",$J$4:$J$76)</f>
        <v>19.98</v>
      </c>
      <c r="K118" s="1">
        <f>SUMIF($G$4:$G$76,"Peak Engineering",$K$4:$K$76)</f>
        <v>337.56</v>
      </c>
      <c r="L118" s="2">
        <f>SUMIF($G$4:$G$76,"Peak Engineering",$L$4:$L$76)</f>
        <v>28207.739999999998</v>
      </c>
    </row>
    <row r="119" spans="1:12" s="5" customFormat="1" ht="14.25" customHeight="1" x14ac:dyDescent="0.2">
      <c r="B119" s="15"/>
      <c r="C119" s="15"/>
      <c r="D119" s="15"/>
      <c r="E119" s="6"/>
      <c r="F119" s="6"/>
      <c r="G119" s="5" t="s">
        <v>121</v>
      </c>
      <c r="I119" s="1">
        <f>SUMIF($G$4:$G$76,"Peter J Litsheim",$I$4:$I$76)</f>
        <v>599.17999999999995</v>
      </c>
      <c r="J119" s="1">
        <f>SUMIF($G$4:$G$76,"Peter J Litsheim",$J$4:$J$76)</f>
        <v>0</v>
      </c>
      <c r="K119" s="1">
        <f>SUMIF($G$4:$G$76,"Peter J Litsheim",$K$4:$K$76)</f>
        <v>599.17999999999995</v>
      </c>
      <c r="L119" s="2">
        <f>SUMIF($G$4:$G$76,"Peter J Litsheim",$L$4:$L$76)</f>
        <v>52002.83</v>
      </c>
    </row>
    <row r="120" spans="1:12" s="5" customFormat="1" ht="14.25" customHeight="1" x14ac:dyDescent="0.2">
      <c r="B120" s="15"/>
      <c r="C120" s="15"/>
      <c r="D120" s="15"/>
      <c r="E120" s="6"/>
      <c r="F120" s="6"/>
      <c r="G120" s="5" t="s">
        <v>2</v>
      </c>
      <c r="I120" s="1">
        <f>SUMIF($G$4:$G$76,"Porter Lumber",$I$4:$I$76)</f>
        <v>0</v>
      </c>
      <c r="J120" s="1">
        <f t="array" ref="J120">SUMIF($G$4:$G$76,"Porter Lumber",$J$4:$J$76)</f>
        <v>0</v>
      </c>
      <c r="K120" s="1">
        <f t="array" ref="K120">SUMIF($G$4:$G$76,"Porter Lumber",$K$4:$K$76)</f>
        <v>0</v>
      </c>
      <c r="L120" s="2">
        <f t="array" ref="L120">SUMIF($G$4:$G$76,"Porter Lumber",$L$4:$L$76)</f>
        <v>0</v>
      </c>
    </row>
    <row r="121" spans="1:12" s="5" customFormat="1" ht="14.25" customHeight="1" x14ac:dyDescent="0.2">
      <c r="B121" s="15"/>
      <c r="C121" s="15"/>
      <c r="D121" s="69"/>
      <c r="E121" s="6"/>
      <c r="F121" s="6"/>
      <c r="G121" s="5" t="s">
        <v>36</v>
      </c>
      <c r="I121" s="1">
        <f>SUMIF($G$4:$G$76,"Ralph Dean Blankenship",$I$4:$I$76)</f>
        <v>0</v>
      </c>
      <c r="J121" s="1">
        <f>SUMIF($G$4:$G$76,"Ralph Dean Blankenship",$J$4:$J$76)</f>
        <v>0</v>
      </c>
      <c r="K121" s="1">
        <f>SUMIF($G$4:$G$76,"Ralph Dean Blankenship",$K$4:$K$76)</f>
        <v>0</v>
      </c>
      <c r="L121" s="2">
        <f>SUMIF($G$4:$G$76,"Ralph Dean Blankenship",$L$4:$L$76)</f>
        <v>0</v>
      </c>
    </row>
    <row r="122" spans="1:12" s="5" customFormat="1" ht="14.25" customHeight="1" x14ac:dyDescent="0.2">
      <c r="B122" s="15"/>
      <c r="C122" s="15"/>
      <c r="D122" s="15"/>
      <c r="E122" s="6"/>
      <c r="F122" s="6"/>
      <c r="G122" s="5" t="s">
        <v>203</v>
      </c>
      <c r="I122" s="1">
        <f>SUMIF($G$4:$G$76,"Ricky Perkins",$I$4:$I$76)</f>
        <v>4.45</v>
      </c>
      <c r="J122" s="1">
        <f>SUMIF($G$4:$G$76,"Ricky Perkins",$J$4:$J$76)</f>
        <v>4.45</v>
      </c>
      <c r="K122" s="1">
        <f>SUMIF($G$4:$G$76,"Ricky Perkins",$K$4:$K$76)</f>
        <v>0</v>
      </c>
      <c r="L122" s="2">
        <f>SUMIF($G$4:$G$76,"Ricky Perkins",$L$4:$L$76)</f>
        <v>0</v>
      </c>
    </row>
    <row r="123" spans="1:12" s="5" customFormat="1" ht="14.25" customHeight="1" x14ac:dyDescent="0.2">
      <c r="B123" s="15"/>
      <c r="C123" s="15"/>
      <c r="D123" s="15"/>
      <c r="E123" s="6"/>
      <c r="F123" s="6"/>
      <c r="G123" s="5" t="s">
        <v>242</v>
      </c>
      <c r="I123" s="1">
        <f>SUMIF($G$4:$G$76,"Second Growth Homes LLC",$I$4:$I$76)</f>
        <v>87.41</v>
      </c>
      <c r="J123" s="1">
        <f>SUMIF($G$4:$G$76,"Second Growth Homes LLC",$J$4:$J$76)</f>
        <v>0</v>
      </c>
      <c r="K123" s="1">
        <f>SUMIF($G$4:$G$76,"Second Growth Homes LLC",$K$4:$K$76)</f>
        <v>87.41</v>
      </c>
      <c r="L123" s="2">
        <f>SUMIF($G$4:$G$76,"Second Growth Homes LLC",$L$4:$L$76)</f>
        <v>6149.84</v>
      </c>
    </row>
    <row r="124" spans="1:12" s="5" customFormat="1" ht="14.25" customHeight="1" x14ac:dyDescent="0.2">
      <c r="B124" s="15"/>
      <c r="C124" s="15"/>
      <c r="D124" s="15"/>
      <c r="E124" s="6"/>
      <c r="F124" s="6"/>
      <c r="G124" s="5" t="s">
        <v>249</v>
      </c>
      <c r="I124" s="1">
        <f>SUMIF($G$4:$G$76,"Shaan-Seet Inc",$I$4:$I$76)</f>
        <v>15.61</v>
      </c>
      <c r="J124" s="1">
        <f>SUMIF($G$4:$G$76,"Shaan-Seet Inc",$J$4:$J$76)</f>
        <v>0</v>
      </c>
      <c r="K124" s="1">
        <f>SUMIF($G$4:$G$76,"Shaan-Seet Inc",$K$4:$K$76)</f>
        <v>15.61</v>
      </c>
      <c r="L124" s="2">
        <f>SUMIF($G$4:$G$76,"Shaan-Seet Inc",$L$4:$L$76)</f>
        <v>31.22</v>
      </c>
    </row>
    <row r="125" spans="1:12" s="5" customFormat="1" ht="14.25" customHeight="1" x14ac:dyDescent="0.2">
      <c r="B125" s="15"/>
      <c r="C125" s="15"/>
      <c r="D125" s="15"/>
      <c r="E125" s="6"/>
      <c r="F125" s="6"/>
      <c r="G125" s="5" t="s">
        <v>145</v>
      </c>
      <c r="I125" s="1">
        <f>SUMIF($G$4:$G$76,"Shortcut Timber Salvage",$I$4:$I$76)</f>
        <v>0</v>
      </c>
      <c r="J125" s="1">
        <f>SUMIF($G$4:$G$76,"Shortcut Timber Salvage",$J$4:$J$76)</f>
        <v>0</v>
      </c>
      <c r="K125" s="1">
        <f>SUMIF($G$4:$G$76,"Shortcut Timber Salvage",$K$4:$K$76)</f>
        <v>0</v>
      </c>
      <c r="L125" s="2">
        <f>SUMIF($G$4:$G$76,"Shortcut Timber Salvage",$L$4:$L$76)</f>
        <v>0</v>
      </c>
    </row>
    <row r="126" spans="1:12" s="5" customFormat="1" ht="14.25" customHeight="1" x14ac:dyDescent="0.2">
      <c r="B126" s="15"/>
      <c r="C126" s="15"/>
      <c r="D126" s="15"/>
      <c r="E126" s="6"/>
      <c r="F126" s="6"/>
      <c r="G126" s="5" t="s">
        <v>88</v>
      </c>
      <c r="I126" s="1">
        <f>SUMIF($G$4:$G$76,"Spencer F Pitcher",$I$4:$I$76)</f>
        <v>0</v>
      </c>
      <c r="J126" s="1">
        <f>SUMIF($G$4:$G$76,"Spencer F Pitcher",$J$4:$J$76)</f>
        <v>0</v>
      </c>
      <c r="K126" s="1">
        <f>SUMIF($G$4:$G$76,"Spencer F Pitcher",$K$4:$K$76)</f>
        <v>0</v>
      </c>
      <c r="L126" s="2">
        <f>SUMIF($G$4:$G$76,"Spencer F Pitcher",$L$4:$L$76)</f>
        <v>0</v>
      </c>
    </row>
    <row r="127" spans="1:12" x14ac:dyDescent="0.2">
      <c r="B127" s="15"/>
      <c r="C127" s="15"/>
      <c r="D127" s="15"/>
      <c r="E127" s="6"/>
      <c r="F127" s="6"/>
      <c r="G127" s="5" t="s">
        <v>91</v>
      </c>
      <c r="H127" s="5"/>
      <c r="I127" s="1">
        <f>SUMIF($G$4:$G$76,"Sterling Chew",$I$4:$I$76)</f>
        <v>0</v>
      </c>
      <c r="J127" s="1">
        <f>SUMIF($G$4:$G$76,"Sterling Chew",$J$4:$J$76)</f>
        <v>0</v>
      </c>
      <c r="K127" s="1">
        <f>SUMIF($G$4:$G$76,"Sterling Chew",$K$4:$K$76)</f>
        <v>0</v>
      </c>
      <c r="L127" s="2">
        <f>SUMIF($G$4:$G$76,"Sterling Chew",$L$4:$L$76)</f>
        <v>0</v>
      </c>
    </row>
    <row r="128" spans="1:12" ht="15.4" customHeight="1" x14ac:dyDescent="0.2">
      <c r="A128" s="70"/>
      <c r="C128" s="15"/>
      <c r="D128" s="15"/>
      <c r="E128" s="6"/>
      <c r="F128" s="6"/>
      <c r="G128" s="5" t="s">
        <v>225</v>
      </c>
      <c r="H128" s="5"/>
      <c r="I128" s="1">
        <f>SUMIF($G$4:$G$76,"Steven McCord",$I$4:$I$76)</f>
        <v>2.13</v>
      </c>
      <c r="J128" s="1">
        <f>SUMIF($G$4:$G$76,"Steven McCord",$J$4:$J$76)</f>
        <v>0</v>
      </c>
      <c r="K128" s="1">
        <f>SUMIF($G$4:$G$76,"Steven McCord",$K$4:$K$76)</f>
        <v>2.13</v>
      </c>
      <c r="L128" s="2">
        <f>SUMIF($G$4:$G$76,"Steven McCord",$L$4:$L$76)</f>
        <v>57.23</v>
      </c>
    </row>
    <row r="129" spans="2:12" s="5" customFormat="1" x14ac:dyDescent="0.2">
      <c r="B129" s="69"/>
      <c r="C129" s="15"/>
      <c r="D129" s="15"/>
      <c r="E129" s="6"/>
      <c r="F129" s="6"/>
      <c r="G129" s="5" t="s">
        <v>89</v>
      </c>
      <c r="I129" s="1">
        <f>SUMIF($G$4:$G$76,"State of Alaska",$I$4:$I$76)</f>
        <v>2729.9</v>
      </c>
      <c r="J129" s="1">
        <f>SUMIF($G$4:$G$76,"State of Alaska",$J$4:$J$76)</f>
        <v>0</v>
      </c>
      <c r="K129" s="1">
        <f>SUMIF($G$4:$G$76,"State of Alaska",$K$4:$K$76)</f>
        <v>2729.9</v>
      </c>
      <c r="L129" s="2">
        <f>SUMIF($G$4:$G$76,"State of Alaska",$L$4:$L$76)</f>
        <v>0</v>
      </c>
    </row>
    <row r="130" spans="2:12" s="5" customFormat="1" x14ac:dyDescent="0.2">
      <c r="B130" s="13"/>
      <c r="C130" s="15"/>
      <c r="D130" s="15"/>
      <c r="E130" s="6"/>
      <c r="F130" s="19"/>
      <c r="G130" s="5" t="s">
        <v>135</v>
      </c>
      <c r="I130" s="1">
        <f>SUMIF($G$4:$G$76,"State of Alaska, DOT &amp; Public Fac.",$I$4:$I$76)</f>
        <v>0</v>
      </c>
      <c r="J130" s="1">
        <f>SUMIF($G$4:$G$76,"State of Alaska, DOT &amp; Public Fac.",$J$4:$J$76)</f>
        <v>0</v>
      </c>
      <c r="K130" s="1">
        <f>SUMIF($G$4:$G$76,"State of Alaska, DOT &amp; Public Fac.",$K$4:$K$76)</f>
        <v>0</v>
      </c>
      <c r="L130" s="2">
        <f>SUMIF($G$4:$G$76,"State of Alaska, DOT &amp; Public Fac.",$L$4:$L$76)</f>
        <v>0</v>
      </c>
    </row>
    <row r="131" spans="2:12" s="5" customFormat="1" x14ac:dyDescent="0.2">
      <c r="B131" s="13"/>
      <c r="D131" s="15"/>
      <c r="E131" s="19"/>
      <c r="F131" s="75"/>
      <c r="G131" s="5" t="s">
        <v>97</v>
      </c>
      <c r="I131" s="1">
        <f>SUMIF($G$4:$G$76,"The Nature Conservancy",$I$4:$I$76)</f>
        <v>0</v>
      </c>
      <c r="J131" s="1">
        <f>SUMIF($G$4:$G$76,"The Nature Conservancy",$J$4:$J$76)</f>
        <v>0</v>
      </c>
      <c r="K131" s="1">
        <f>SUMIF($G$4:$G$76,"The Nature Conservancy",$K$4:$K$76)</f>
        <v>0</v>
      </c>
      <c r="L131" s="2">
        <f>SUMIF($G$4:$G$76,"The Nature Conservancy",$L$4:$L$76)</f>
        <v>0</v>
      </c>
    </row>
    <row r="132" spans="2:12" s="5" customFormat="1" x14ac:dyDescent="0.2">
      <c r="B132" s="13"/>
      <c r="C132" s="15"/>
      <c r="D132" s="15"/>
      <c r="E132" s="19"/>
      <c r="F132" s="75"/>
      <c r="G132" s="5" t="s">
        <v>222</v>
      </c>
      <c r="I132" s="1">
        <f>SUMIF($G$4:$G$76,"Tideline Construction LLC",$I$4:$I$76)</f>
        <v>44.49</v>
      </c>
      <c r="J132" s="1">
        <f>SUMIF($G$4:$G$76,"Tideline Construction LLC",$J$4:$J$76)</f>
        <v>0</v>
      </c>
      <c r="K132" s="1">
        <f>SUMIF($G$4:$G$76,"Tideline Construction LLC",$K$4:$K$76)</f>
        <v>44.49</v>
      </c>
      <c r="L132" s="2">
        <f>SUMIF($G$4:$G$76,"Tideline Construction LLC",$L$4:$L$76)</f>
        <v>849.78</v>
      </c>
    </row>
    <row r="133" spans="2:12" s="5" customFormat="1" x14ac:dyDescent="0.2">
      <c r="B133" s="13"/>
      <c r="C133" s="15"/>
      <c r="D133" s="15"/>
      <c r="E133" s="19"/>
      <c r="F133" s="75"/>
      <c r="G133" s="5" t="s">
        <v>48</v>
      </c>
      <c r="I133" s="1">
        <f>SUMIF($G$4:$G$76,"T.L.C. Management, LLC",$I$4:$I$76)</f>
        <v>52.91</v>
      </c>
      <c r="J133" s="1">
        <f>SUMIF($G$4:$G$76,"T.L.C. Management, LLC",$J$4:$J$76)</f>
        <v>0</v>
      </c>
      <c r="K133" s="1">
        <f>SUMIF($G$4:$G$76,"T.L.C. Management, LLC",$K$4:$K$76)</f>
        <v>52.91</v>
      </c>
      <c r="L133" s="2">
        <f>SUMIF($G$4:$G$76,"T.L.C. Management, LLC",$L$4:$L$76)</f>
        <v>3289.21</v>
      </c>
    </row>
    <row r="134" spans="2:12" s="5" customFormat="1" x14ac:dyDescent="0.2">
      <c r="B134" s="13"/>
      <c r="C134" s="15"/>
      <c r="D134" s="15"/>
      <c r="E134" s="19"/>
      <c r="F134" s="75"/>
      <c r="G134" s="29" t="s">
        <v>205</v>
      </c>
      <c r="I134" s="37">
        <v>94.66</v>
      </c>
      <c r="J134" s="37">
        <v>94.66</v>
      </c>
      <c r="K134" s="37">
        <v>0</v>
      </c>
      <c r="L134" s="38">
        <v>0</v>
      </c>
    </row>
    <row r="135" spans="2:12" s="5" customFormat="1" x14ac:dyDescent="0.2">
      <c r="B135" s="13"/>
      <c r="C135" s="15"/>
      <c r="D135" s="15"/>
      <c r="E135" s="19"/>
      <c r="F135" s="75"/>
      <c r="G135" s="30" t="s">
        <v>159</v>
      </c>
      <c r="I135" s="1">
        <f>SUMIF($G$4:$G$76,"Vicky Hayes",$I$4:$I$76)</f>
        <v>0</v>
      </c>
      <c r="J135" s="1">
        <f>SUMIF($G$4:$G$76,"Vicky Hayes",$J$4:$J$76)</f>
        <v>0</v>
      </c>
      <c r="K135" s="1">
        <f>SUMIF($G$4:$G$76,"Vicky Hayes",$K$4:$K$76)</f>
        <v>0</v>
      </c>
      <c r="L135" s="2">
        <f>SUMIF($G$4:$G$76,"Vicky Hayes",$L$4:$L$76)</f>
        <v>0</v>
      </c>
    </row>
    <row r="136" spans="2:12" s="5" customFormat="1" x14ac:dyDescent="0.2">
      <c r="B136" s="13"/>
      <c r="C136" s="15"/>
      <c r="D136" s="15"/>
      <c r="E136" s="19"/>
      <c r="F136" s="75"/>
      <c r="G136" s="30" t="s">
        <v>236</v>
      </c>
      <c r="I136" s="1">
        <f>SUMIF($G$4:$G$76,"Victor Kauffman",$I$4:$I$76)</f>
        <v>120.5</v>
      </c>
      <c r="J136" s="1">
        <f>SUMIF($G$4:$G$76,"Victor Kauffman",$J$4:$J$76)</f>
        <v>0</v>
      </c>
      <c r="K136" s="1">
        <f>SUMIF($G$4:$G$76,"Victor Kauffman",$K$4:$K$76)</f>
        <v>120.5</v>
      </c>
      <c r="L136" s="2">
        <f>SUMIF($G$4:$G$76,"Victor Kauffman",$L$4:$L$76)</f>
        <v>0</v>
      </c>
    </row>
    <row r="137" spans="2:12" s="5" customFormat="1" x14ac:dyDescent="0.2">
      <c r="B137" s="13"/>
      <c r="C137" s="15"/>
      <c r="D137" s="15"/>
      <c r="E137" s="19"/>
      <c r="F137" s="75"/>
      <c r="G137" s="5" t="s">
        <v>16</v>
      </c>
      <c r="I137" s="1">
        <f>SUMIF($G$4:$G$76,"Viking Lumber Company",$I$4:$I$76)</f>
        <v>132964.18</v>
      </c>
      <c r="J137" s="1">
        <f t="array" ref="J137">SUMIF($G$4:$G$76,"Viking Lumber Company",$J$4:$J$76)</f>
        <v>128604.34999999999</v>
      </c>
      <c r="K137" s="1">
        <f t="array" ref="K137">SUMIF($G$4:$G$76,"Viking Lumber Company",$K$4:$K$76)</f>
        <v>4359.8300000000108</v>
      </c>
      <c r="L137" s="2">
        <f t="array" ref="L137">SUMIF($G$4:$G$76,"Viking Lumber Company",$L$4:$L$76)</f>
        <v>570003.62</v>
      </c>
    </row>
    <row r="138" spans="2:12" s="5" customFormat="1" x14ac:dyDescent="0.2">
      <c r="B138" s="13"/>
      <c r="C138" s="15"/>
      <c r="D138" s="15"/>
      <c r="E138" s="19"/>
      <c r="F138" s="75"/>
      <c r="G138" s="5" t="s">
        <v>53</v>
      </c>
      <c r="I138" s="1">
        <f>SUMIF($G$4:$G$76,"Western Gold Cedar Products",$I$4:$I$76)</f>
        <v>5203.54</v>
      </c>
      <c r="J138" s="1">
        <f>SUMIF($G$4:$G$76,"Western Gold Cedar Products",$J$4:$J$76)</f>
        <v>1793.07</v>
      </c>
      <c r="K138" s="1">
        <f>SUMIF($G$4:$G$76,"Western Gold Cedar Products",$K$4:$K$76)</f>
        <v>3410.4700000000003</v>
      </c>
      <c r="L138" s="2">
        <f>SUMIF($G$4:$G$76,"Western Gold Cedar Products",$L$4:$L$76)</f>
        <v>558025.29</v>
      </c>
    </row>
    <row r="139" spans="2:12" s="5" customFormat="1" x14ac:dyDescent="0.2">
      <c r="B139" s="13"/>
      <c r="C139" s="15"/>
      <c r="D139" s="15"/>
      <c r="E139" s="19"/>
      <c r="F139" s="75"/>
      <c r="G139" s="5" t="s">
        <v>109</v>
      </c>
      <c r="H139" s="18"/>
      <c r="I139" s="1">
        <f>SUMIF($G$4:$G$76,"William Kaufman",$I$4:$I$76)</f>
        <v>4.8900000000000006</v>
      </c>
      <c r="J139" s="1">
        <f>SUMIF($G$4:$G$76,"William Kaufman",$J$4:$J$76)</f>
        <v>1.23</v>
      </c>
      <c r="K139" s="1">
        <f>SUMIF($G$4:$G$76,"William Kaufman",$K$4:$K$76)</f>
        <v>3.66</v>
      </c>
      <c r="L139" s="2">
        <f>SUMIF($G$4:$G$76,"William Kaufman",$L$4:$L$76)</f>
        <v>411.79</v>
      </c>
    </row>
    <row r="140" spans="2:12" s="5" customFormat="1" ht="15.75" thickBot="1" x14ac:dyDescent="0.25">
      <c r="B140" s="13"/>
      <c r="C140" s="9" t="s">
        <v>77</v>
      </c>
      <c r="D140" s="69"/>
      <c r="E140" s="19"/>
      <c r="F140" s="75"/>
      <c r="H140" s="7"/>
      <c r="I140" s="3"/>
      <c r="J140" s="3"/>
      <c r="K140" s="3"/>
      <c r="L140" s="4"/>
    </row>
    <row r="141" spans="2:12" s="5" customFormat="1" x14ac:dyDescent="0.2">
      <c r="B141" s="13"/>
      <c r="C141" s="15"/>
      <c r="D141" s="69"/>
      <c r="E141" s="19"/>
      <c r="F141" s="75"/>
      <c r="I141" s="1">
        <f>SUM(I81:I140)</f>
        <v>189720.26000000004</v>
      </c>
      <c r="J141" s="1">
        <f>SUM(J81:J140)</f>
        <v>168325.71000000002</v>
      </c>
      <c r="K141" s="1">
        <f>SUM(K81:K140)</f>
        <v>21394.550000000007</v>
      </c>
      <c r="L141" s="2">
        <f>SUM(L81:L140)</f>
        <v>1647640.97</v>
      </c>
    </row>
    <row r="142" spans="2:12" s="5" customFormat="1" x14ac:dyDescent="0.2">
      <c r="B142" s="13"/>
      <c r="C142" s="15"/>
      <c r="D142" s="69"/>
      <c r="E142" s="19"/>
      <c r="F142" s="75"/>
      <c r="G142" s="7"/>
      <c r="I142" s="1"/>
      <c r="J142" s="1"/>
      <c r="K142" s="1"/>
      <c r="L142" s="2"/>
    </row>
    <row r="143" spans="2:12" s="5" customFormat="1" x14ac:dyDescent="0.2">
      <c r="B143" s="13"/>
      <c r="C143" s="15"/>
      <c r="D143" s="69"/>
      <c r="E143" s="19"/>
      <c r="F143" s="75"/>
      <c r="G143" s="9"/>
      <c r="I143" s="1"/>
      <c r="J143" s="1"/>
      <c r="K143" s="1"/>
      <c r="L143" s="2"/>
    </row>
    <row r="144" spans="2:12" s="5" customFormat="1" x14ac:dyDescent="0.2">
      <c r="B144" s="13"/>
      <c r="C144" s="15"/>
      <c r="D144" s="69"/>
      <c r="E144" s="19"/>
      <c r="F144" s="75"/>
      <c r="G144" s="9"/>
      <c r="I144" s="1"/>
      <c r="J144" s="1"/>
      <c r="K144" s="1"/>
      <c r="L144" s="2"/>
    </row>
    <row r="145" spans="1:12" s="5" customFormat="1" x14ac:dyDescent="0.2">
      <c r="B145" s="13"/>
      <c r="C145" s="15"/>
      <c r="D145" s="69"/>
      <c r="E145" s="19"/>
      <c r="F145" s="75"/>
      <c r="G145" s="9"/>
      <c r="I145" s="1"/>
      <c r="J145" s="1"/>
      <c r="K145" s="1"/>
      <c r="L145" s="2"/>
    </row>
    <row r="146" spans="1:12" s="5" customFormat="1" ht="14.25" customHeight="1" thickBot="1" x14ac:dyDescent="0.25">
      <c r="B146" s="15"/>
      <c r="C146" s="15"/>
      <c r="D146" s="69"/>
      <c r="E146" s="11" t="s">
        <v>0</v>
      </c>
      <c r="F146" s="71"/>
      <c r="G146" s="9"/>
      <c r="I146" s="1"/>
      <c r="J146" s="1"/>
      <c r="K146" s="1"/>
      <c r="L146" s="2"/>
    </row>
    <row r="147" spans="1:12" x14ac:dyDescent="0.2">
      <c r="B147" s="15"/>
      <c r="C147" s="15"/>
      <c r="E147" s="9" t="s">
        <v>56</v>
      </c>
      <c r="F147" s="6"/>
      <c r="G147" s="9"/>
      <c r="H147" s="5"/>
      <c r="I147" s="1">
        <f>SUMIF($B$4:$B$76,"100410",$I$4:$I$76)</f>
        <v>0</v>
      </c>
      <c r="J147" s="1">
        <f>SUMIF($B$4:$B$76,"100410",$J$4:$J$76)</f>
        <v>0</v>
      </c>
      <c r="K147" s="1">
        <f>SUMIF($B$4:$B$76,"100410",$K$4:$K$76)</f>
        <v>0</v>
      </c>
      <c r="L147" s="2">
        <f>SUMIF($B$4:$B$76,"100410",$L$4:$L$76)</f>
        <v>0</v>
      </c>
    </row>
    <row r="148" spans="1:12" x14ac:dyDescent="0.2">
      <c r="C148" s="15"/>
      <c r="E148" s="9" t="s">
        <v>57</v>
      </c>
      <c r="F148" s="6"/>
      <c r="G148" s="9"/>
      <c r="H148" s="5"/>
      <c r="I148" s="1">
        <f t="array" ref="I148">SUMIF($B$4:$B$76,"100420",$I$4:$I$76)</f>
        <v>0</v>
      </c>
      <c r="J148" s="1">
        <f t="array" ref="J148">SUMIF($B$4:$B$76,"100420",$J$4:$J$76)</f>
        <v>0</v>
      </c>
      <c r="K148" s="1">
        <f>SUMIF($B$4:$B$76,"100420",$K$4:$K$76)</f>
        <v>0</v>
      </c>
      <c r="L148" s="2">
        <f t="array" ref="L148">SUMIF($B$4:$B$76,"100420",$L$4:$L$76)</f>
        <v>0</v>
      </c>
    </row>
    <row r="149" spans="1:12" x14ac:dyDescent="0.2">
      <c r="A149" s="44" t="s">
        <v>127</v>
      </c>
      <c r="C149" s="15"/>
      <c r="E149" s="9" t="s">
        <v>58</v>
      </c>
      <c r="F149" s="6"/>
      <c r="G149" s="9"/>
      <c r="H149" s="5"/>
      <c r="I149" s="1">
        <f t="array" ref="I149">SUMIF($B$4:$B$76,"100430",$I$4:$I$76)</f>
        <v>1273.5</v>
      </c>
      <c r="J149" s="1">
        <f t="array" ref="J149">SUMIF($B$4:$B$76,"100430",$J$4:$J$76)</f>
        <v>513.5</v>
      </c>
      <c r="K149" s="1">
        <f t="array" ref="K149">SUMIF($B$4:$B$76,"100430",$K$4:$K$76)</f>
        <v>760</v>
      </c>
      <c r="L149" s="2">
        <f t="array" ref="L149">SUMIF($B$4:$B$76,"100430",$L$4:$L$76)</f>
        <v>46493.180000000008</v>
      </c>
    </row>
    <row r="150" spans="1:12" x14ac:dyDescent="0.2">
      <c r="B150" s="69" t="s">
        <v>128</v>
      </c>
      <c r="C150" s="15"/>
      <c r="E150" s="9"/>
      <c r="F150" s="6"/>
      <c r="G150" s="9"/>
      <c r="H150" s="5"/>
      <c r="I150" s="1"/>
      <c r="J150" s="1"/>
      <c r="K150" s="1"/>
      <c r="L150" s="2"/>
    </row>
    <row r="151" spans="1:12" ht="15.75" thickBot="1" x14ac:dyDescent="0.25">
      <c r="C151" s="15"/>
      <c r="E151" s="10" t="s">
        <v>3</v>
      </c>
      <c r="F151" s="71"/>
      <c r="G151" s="9"/>
      <c r="H151" s="5"/>
      <c r="I151" s="1"/>
      <c r="J151" s="1"/>
      <c r="K151" s="1"/>
      <c r="L151" s="2"/>
    </row>
    <row r="152" spans="1:12" x14ac:dyDescent="0.2">
      <c r="C152" s="15"/>
      <c r="E152" s="9" t="s">
        <v>59</v>
      </c>
      <c r="F152" s="6"/>
      <c r="G152" s="9"/>
      <c r="H152" s="5"/>
      <c r="I152" s="1">
        <f>SUMIF($B$4:$B$76,"100521",$I$4:$I$76)</f>
        <v>981.81</v>
      </c>
      <c r="J152" s="1">
        <f t="array" ref="J152">SUMIF($B$4:$B$76,"100521",$J$4:$J$76)</f>
        <v>36.960000000000008</v>
      </c>
      <c r="K152" s="1">
        <f t="array" ref="K152">SUMIF($B$4:$B$76,"100521",$K$4:$K$76)</f>
        <v>944.84999999999991</v>
      </c>
      <c r="L152" s="2">
        <f t="array" ref="L152">SUMIF($B$4:$B$76,"100521",$L$4:$L$76)</f>
        <v>81685.06</v>
      </c>
    </row>
    <row r="153" spans="1:12" x14ac:dyDescent="0.2">
      <c r="C153" s="15"/>
      <c r="E153" s="9" t="s">
        <v>60</v>
      </c>
      <c r="F153" s="6"/>
      <c r="G153" s="9"/>
      <c r="H153" s="5"/>
      <c r="I153" s="1">
        <f t="array" ref="I153">SUMIF($B$4:$B$76,"100522",$I$4:$I$76)</f>
        <v>41335.78</v>
      </c>
      <c r="J153" s="1">
        <f t="array" ref="J153">SUMIF($B$4:$B$76,"100522",$J$4:$J$76)</f>
        <v>36166.909999999996</v>
      </c>
      <c r="K153" s="1">
        <f t="array" ref="K153">SUMIF($B$4:$B$76,"100522",$K$4:$K$76)</f>
        <v>5168.869999999999</v>
      </c>
      <c r="L153" s="2">
        <f t="array" ref="L153">SUMIF($B$4:$B$76,"100522",$L$4:$L$76)</f>
        <v>47580.829999999994</v>
      </c>
    </row>
    <row r="154" spans="1:12" x14ac:dyDescent="0.2">
      <c r="A154" s="72"/>
      <c r="E154" s="9" t="s">
        <v>61</v>
      </c>
      <c r="F154" s="6"/>
      <c r="G154" s="9"/>
      <c r="H154" s="5"/>
      <c r="I154" s="1">
        <f t="array" ref="I154">SUMIF($B$4:$B$76,"100531",$I$4:$I$76)</f>
        <v>270.06</v>
      </c>
      <c r="J154" s="1">
        <f t="array" ref="J154">SUMIF($B$4:$B$76,"100531",$J$4:$J$76)</f>
        <v>123.67999999999999</v>
      </c>
      <c r="K154" s="1">
        <f t="array" ref="K154">SUMIF($B$4:$B$76,"100531",$K$4:$K$76)</f>
        <v>146.38</v>
      </c>
      <c r="L154" s="2">
        <f t="array" ref="L154">SUMIF($B$4:$B$76,"100531",$L$4:$L$76)</f>
        <v>4802.63</v>
      </c>
    </row>
    <row r="155" spans="1:12" x14ac:dyDescent="0.2">
      <c r="E155" s="9" t="s">
        <v>62</v>
      </c>
      <c r="F155" s="6"/>
      <c r="G155" s="9"/>
      <c r="H155" s="5"/>
      <c r="I155" s="1">
        <f>SUMIF($B$4:$B$76,"100532",$I$4:$I$76)</f>
        <v>711.04</v>
      </c>
      <c r="J155" s="1">
        <f t="array" ref="J155">SUMIF($B$4:$B$76,"100532",$J$4:$J$76)</f>
        <v>175.95</v>
      </c>
      <c r="K155" s="1">
        <f t="array" ref="K155">SUMIF($B$4:$B$76,"100532",$K$4:$K$76)</f>
        <v>535.09</v>
      </c>
      <c r="L155" s="2">
        <f t="array" ref="L155">SUMIF($B$4:$B$76,"100532",$L$4:$L$76)</f>
        <v>40645.65</v>
      </c>
    </row>
    <row r="156" spans="1:12" x14ac:dyDescent="0.2">
      <c r="E156" s="9" t="s">
        <v>63</v>
      </c>
      <c r="F156" s="6"/>
      <c r="G156" s="9"/>
      <c r="H156" s="5"/>
      <c r="I156" s="1">
        <f t="array" ref="I156">SUMIF($B$4:$B$76,"100533",$I$4:$I$76)</f>
        <v>2198.4899999999998</v>
      </c>
      <c r="J156" s="1">
        <f t="array" ref="J156">SUMIF($B$4:$B$76,"100533",$J$4:$J$76)</f>
        <v>186.33</v>
      </c>
      <c r="K156" s="1">
        <f>SUMIF($B$4:$B$76,"100533",$K$4:$K$76)</f>
        <v>2012.1599999999999</v>
      </c>
      <c r="L156" s="2">
        <f t="array" ref="L156">SUMIF($B$4:$B$76,"100533",$L$4:$L$76)</f>
        <v>16175.82</v>
      </c>
    </row>
    <row r="157" spans="1:12" x14ac:dyDescent="0.2">
      <c r="E157" s="9" t="s">
        <v>64</v>
      </c>
      <c r="F157" s="6"/>
      <c r="G157" s="9"/>
      <c r="I157" s="1">
        <f>SUMIF($B$4:$B$76,"100534",$I$4:$I$76)</f>
        <v>0</v>
      </c>
      <c r="J157" s="1">
        <f>SUMIF($B$4:$B$76,"100534",$J$4:$J$76)</f>
        <v>0</v>
      </c>
      <c r="K157" s="1">
        <f>SUMIF($B$4:$B$76,"100534",$K$4:$K$76)</f>
        <v>0</v>
      </c>
      <c r="L157" s="2">
        <f t="array" ref="L157">SUMIF($B$4:$B$76,"100534",$L$4:$L$76)</f>
        <v>0</v>
      </c>
    </row>
    <row r="158" spans="1:12" x14ac:dyDescent="0.2">
      <c r="E158" s="9" t="s">
        <v>65</v>
      </c>
      <c r="F158" s="6"/>
      <c r="G158" s="5"/>
      <c r="H158" s="7"/>
      <c r="I158" s="1">
        <f t="array" ref="I158">SUMIF($B$4:$B$76,"100535",$I$4:$I$76)</f>
        <v>0</v>
      </c>
      <c r="J158" s="1">
        <f t="array" ref="J158">SUMIF($B$4:$B$76,"100535",$J$4:$J$76)</f>
        <v>0</v>
      </c>
      <c r="K158" s="1">
        <f>SUMIF($B$4:$B$76,"100535",$K$4:$K$76)</f>
        <v>0</v>
      </c>
      <c r="L158" s="2">
        <f t="array" ref="L158">SUMIF($B$4:$B$76,"100535",$L$4:$L$76)</f>
        <v>0</v>
      </c>
    </row>
    <row r="159" spans="1:12" x14ac:dyDescent="0.2">
      <c r="E159" s="9" t="s">
        <v>66</v>
      </c>
      <c r="F159" s="6"/>
      <c r="G159" s="18"/>
      <c r="H159" s="7"/>
      <c r="I159" s="1">
        <f t="array" ref="I159">SUMIF($B$4:$B$76,"100551",$I$4:$I$76)</f>
        <v>1.23</v>
      </c>
      <c r="J159" s="1">
        <f t="array" ref="J159">SUMIF($B$4:$B$76,"100551",$J$4:$J$76)</f>
        <v>1.23</v>
      </c>
      <c r="K159" s="1">
        <f t="array" ref="K159">SUMIF($B$4:$B$76,"100551",$K$4:$K$76)</f>
        <v>0</v>
      </c>
      <c r="L159" s="2">
        <f t="array" ref="L159">SUMIF($B$4:$B$76,"100551",$L$4:$L$76)</f>
        <v>0</v>
      </c>
    </row>
    <row r="160" spans="1:12" x14ac:dyDescent="0.2">
      <c r="E160" s="9" t="s">
        <v>67</v>
      </c>
      <c r="F160" s="6"/>
      <c r="G160" s="8"/>
      <c r="H160" s="7"/>
      <c r="I160" s="1">
        <f t="array" ref="I160">SUMIF($B$4:$B$76,"100552",$I$4:$I$76)</f>
        <v>3031.94</v>
      </c>
      <c r="J160" s="1">
        <f t="array" ref="J160">SUMIF($B$4:$B$76,"100552",$J$4:$J$76)</f>
        <v>302.04000000000002</v>
      </c>
      <c r="K160" s="1">
        <f t="array" ref="K160">SUMIF($B$4:$B$76,"100552",$K$4:$K$76)</f>
        <v>2729.9</v>
      </c>
      <c r="L160" s="2">
        <f>SUMIF($B$4:$B$76,"100552",$L$4:$L$76)</f>
        <v>0</v>
      </c>
    </row>
    <row r="161" spans="3:12" ht="15.75" thickBot="1" x14ac:dyDescent="0.25">
      <c r="E161" s="9" t="s">
        <v>68</v>
      </c>
      <c r="F161" s="6"/>
      <c r="G161" s="8"/>
      <c r="I161" s="3">
        <f>SUMIF($B$4:$B$76,"100554",$I$4:$I$76)</f>
        <v>139916.41</v>
      </c>
      <c r="J161" s="3">
        <f>SUMIF($B$4:$B$76,"100554",$J$4:$J$76)</f>
        <v>130819.10999999999</v>
      </c>
      <c r="K161" s="3">
        <f>SUMIF($B$4:$B$76,"100554",$K$4:$K$76)</f>
        <v>9097.3000000000102</v>
      </c>
      <c r="L161" s="4">
        <f>SUMIF($B$4:$B$76,"100554",$L$4:$L$76)</f>
        <v>1410257.7999999998</v>
      </c>
    </row>
    <row r="162" spans="3:12" x14ac:dyDescent="0.2">
      <c r="E162" s="5"/>
      <c r="F162" s="6"/>
      <c r="G162" s="8"/>
      <c r="I162" s="1"/>
      <c r="J162" s="1"/>
      <c r="K162" s="1"/>
      <c r="L162" s="2"/>
    </row>
    <row r="163" spans="3:12" x14ac:dyDescent="0.2">
      <c r="E163" s="18" t="s">
        <v>78</v>
      </c>
      <c r="G163" s="8"/>
      <c r="I163" s="1">
        <f>SUM(I147:I161)</f>
        <v>189720.26</v>
      </c>
      <c r="J163" s="1">
        <f>SUM(J147:J161)</f>
        <v>168325.71</v>
      </c>
      <c r="K163" s="1">
        <f>SUM(K147:K161)</f>
        <v>21394.55000000001</v>
      </c>
      <c r="L163" s="2">
        <f>SUM(L147:L161)</f>
        <v>1647640.9699999997</v>
      </c>
    </row>
    <row r="164" spans="3:12" x14ac:dyDescent="0.2">
      <c r="E164" s="8"/>
    </row>
    <row r="165" spans="3:12" x14ac:dyDescent="0.2">
      <c r="E165" s="8" t="s">
        <v>51</v>
      </c>
      <c r="I165" s="20">
        <f>I78</f>
        <v>189720.26000000004</v>
      </c>
      <c r="J165" s="20">
        <f>J78</f>
        <v>168325.71000000002</v>
      </c>
      <c r="K165" s="20">
        <f>K78</f>
        <v>21394.550000000007</v>
      </c>
      <c r="L165" s="21">
        <f>L78</f>
        <v>1647640.9699999997</v>
      </c>
    </row>
    <row r="166" spans="3:12" x14ac:dyDescent="0.2">
      <c r="E166" s="8"/>
      <c r="L166" s="21"/>
    </row>
    <row r="167" spans="3:12" x14ac:dyDescent="0.2">
      <c r="E167" s="8" t="s">
        <v>52</v>
      </c>
      <c r="I167" s="20">
        <f>I141</f>
        <v>189720.26000000004</v>
      </c>
      <c r="J167" s="20">
        <f>J141</f>
        <v>168325.71000000002</v>
      </c>
      <c r="K167" s="20">
        <f>K141</f>
        <v>21394.550000000007</v>
      </c>
      <c r="L167" s="21">
        <f>L141</f>
        <v>1647640.97</v>
      </c>
    </row>
    <row r="169" spans="3:12" x14ac:dyDescent="0.2">
      <c r="C169" s="74" t="s">
        <v>129</v>
      </c>
    </row>
    <row r="170" spans="3:12" x14ac:dyDescent="0.2">
      <c r="C170" s="74" t="s">
        <v>130</v>
      </c>
      <c r="E170" s="73"/>
    </row>
    <row r="171" spans="3:12" x14ac:dyDescent="0.2">
      <c r="C171" s="74" t="s">
        <v>131</v>
      </c>
    </row>
    <row r="177" spans="1:1" x14ac:dyDescent="0.2">
      <c r="A177" s="72"/>
    </row>
    <row r="178" spans="1:1" x14ac:dyDescent="0.2">
      <c r="A178" s="7" t="s">
        <v>103</v>
      </c>
    </row>
  </sheetData>
  <autoFilter ref="A2:M60" xr:uid="{00000000-0001-0000-0000-000000000000}"/>
  <sortState xmlns:xlrd2="http://schemas.microsoft.com/office/spreadsheetml/2017/richdata2" ref="G137:L171">
    <sortCondition ref="G137:G171"/>
  </sortState>
  <phoneticPr fontId="0" type="noConversion"/>
  <printOptions horizontalCentered="1" gridLines="1"/>
  <pageMargins left="0.25" right="0.25" top="0.5" bottom="0.5" header="0" footer="0"/>
  <pageSetup scale="66" fitToHeight="0" orientation="landscape" cellComments="atEnd" r:id="rId1"/>
  <headerFooter>
    <oddFooter>&amp;F&amp;RPage &amp;P</oddFooter>
  </headerFooter>
  <rowBreaks count="3" manualBreakCount="3">
    <brk id="48" max="16383" man="1"/>
    <brk id="80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 Under Contract</vt:lpstr>
      <vt:lpstr>'Volume Under Contract'!Print_Titles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Lavoie, Tiana - FS, AK</cp:lastModifiedBy>
  <cp:lastPrinted>2020-12-09T20:40:12Z</cp:lastPrinted>
  <dcterms:created xsi:type="dcterms:W3CDTF">2000-01-21T21:34:04Z</dcterms:created>
  <dcterms:modified xsi:type="dcterms:W3CDTF">2025-09-11T17:16:51Z</dcterms:modified>
</cp:coreProperties>
</file>