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dpoleary\Box\01. daniel.oleary Workspace\R10 Measurement_Valuation Detail\RV BY24 Master Folder\Official RV Programs\2025 Q3\FASTR\"/>
    </mc:Choice>
  </mc:AlternateContent>
  <xr:revisionPtr revIDLastSave="0" documentId="13_ncr:1_{9D86AD1C-6152-4499-8475-8AAED35C1236}" xr6:coauthVersionLast="47" xr6:coauthVersionMax="47" xr10:uidLastSave="{00000000-0000-0000-0000-000000000000}"/>
  <workbookProtection workbookAlgorithmName="SHA-512" workbookHashValue="/etgQ6/PKsWVAnhbdB7HcvPTJYV7UV0qy6aJv4c0IL6eE0bdj2FkZplmM6KjE9WmpNBIXZNQG99H1LWf9nFN1w==" workbookSaltValue="fF/dsBfXUdsLXQOOqbv7ow==" workbookSpinCount="100000" lockStructure="1"/>
  <bookViews>
    <workbookView xWindow="28680" yWindow="-120" windowWidth="29040" windowHeight="15720" tabRatio="925" xr2:uid="{00000000-000D-0000-FFFF-FFFF00000000}"/>
  </bookViews>
  <sheets>
    <sheet name="INTRO " sheetId="25" r:id="rId1"/>
    <sheet name="OG units" sheetId="16" r:id="rId2"/>
    <sheet name="YG units" sheetId="17" r:id="rId3"/>
    <sheet name="Input Pg1" sheetId="10" r:id="rId4"/>
    <sheet name="OG Heli Input" sheetId="13" r:id="rId5"/>
    <sheet name="NOTES" sheetId="24" r:id="rId6"/>
    <sheet name="BY24 Update" sheetId="11" r:id="rId7"/>
    <sheet name="Project SV mfg" sheetId="15" r:id="rId8"/>
    <sheet name="LoggingCosts" sheetId="12" r:id="rId9"/>
    <sheet name="Estimate1" sheetId="9" r:id="rId10"/>
    <sheet name="Estimate2" sheetId="28" r:id="rId11"/>
    <sheet name="NEPA SUMMARY " sheetId="20" r:id="rId12"/>
    <sheet name="drop list" sheetId="29" state="hidden" r:id="rId13"/>
  </sheets>
  <definedNames>
    <definedName name="_05515_R006" localSheetId="3">'Input Pg1'!#REF!</definedName>
    <definedName name="_05515_R006_1" localSheetId="3">'Input Pg1'!#REF!</definedName>
    <definedName name="qsel2400_17Data_AllInUtilz" localSheetId="10">#REF!</definedName>
    <definedName name="qsel2400_17Data_AllInUtilz" localSheetId="11">#REF!</definedName>
    <definedName name="qsel2400_17Data_AllInUtilz" localSheetId="2">#REF!</definedName>
    <definedName name="qsel2400_17Data_AllInUtilz">#REF!</definedName>
    <definedName name="qselMainInputArchives" localSheetId="10">#REF!</definedName>
    <definedName name="qselMainInputArchives" localSheetId="11">#REF!</definedName>
    <definedName name="qselMainInputArchives" localSheetId="2">#REF!</definedName>
    <definedName name="qselMainInputArchives">#REF!</definedName>
    <definedName name="qselMainInputReport" localSheetId="10">#REF!</definedName>
    <definedName name="qselMainInputReport" localSheetId="11">#REF!</definedName>
    <definedName name="qselMainInputReport" localSheetId="2">#REF!</definedName>
    <definedName name="qselMainInputReport">#REF!</definedName>
    <definedName name="qselMbfCcfConversions" localSheetId="10">#REF!</definedName>
    <definedName name="qselMbfCcfConversions" localSheetId="11">#REF!</definedName>
    <definedName name="qselMbfCcfConversions" localSheetId="2">#REF!</definedName>
    <definedName name="qselMbfCcfConversions">#REF!</definedName>
    <definedName name="qselUtility" localSheetId="10">#REF!</definedName>
    <definedName name="qselUtility" localSheetId="11">#REF!</definedName>
    <definedName name="qselUtility" localSheetId="2">#REF!</definedName>
    <definedName name="qselUtil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4" l="1"/>
  <c r="E26" i="24"/>
  <c r="J26" i="24"/>
  <c r="J24" i="24"/>
  <c r="E24" i="24"/>
  <c r="B15" i="12" l="1"/>
  <c r="G50" i="13"/>
  <c r="H50" i="13" s="1"/>
  <c r="I50" i="13" s="1"/>
  <c r="J50" i="13"/>
  <c r="G51" i="13"/>
  <c r="H51" i="13" s="1"/>
  <c r="I51" i="13" s="1"/>
  <c r="J51" i="13"/>
  <c r="G52" i="13"/>
  <c r="H52" i="13" s="1"/>
  <c r="I52" i="13" s="1"/>
  <c r="J52" i="13"/>
  <c r="G53" i="13"/>
  <c r="H53" i="13"/>
  <c r="I53" i="13"/>
  <c r="J53" i="13"/>
  <c r="G54" i="13"/>
  <c r="H54" i="13" s="1"/>
  <c r="I54" i="13" s="1"/>
  <c r="J54" i="13"/>
  <c r="G55" i="13"/>
  <c r="H55" i="13" s="1"/>
  <c r="I55" i="13" s="1"/>
  <c r="J55" i="13"/>
  <c r="G56" i="13"/>
  <c r="H56" i="13"/>
  <c r="I56" i="13"/>
  <c r="J56" i="13"/>
  <c r="G57" i="13"/>
  <c r="H57" i="13" s="1"/>
  <c r="I57" i="13" s="1"/>
  <c r="J57" i="13"/>
  <c r="G58" i="13"/>
  <c r="H58" i="13" s="1"/>
  <c r="I58" i="13" s="1"/>
  <c r="J58" i="13"/>
  <c r="G59" i="13"/>
  <c r="H59" i="13" s="1"/>
  <c r="I59" i="13" s="1"/>
  <c r="J59" i="13"/>
  <c r="G60" i="13"/>
  <c r="H60" i="13" s="1"/>
  <c r="I60" i="13" s="1"/>
  <c r="J60" i="13"/>
  <c r="G61" i="13"/>
  <c r="H61" i="13" s="1"/>
  <c r="I61" i="13" s="1"/>
  <c r="J61" i="13"/>
  <c r="G62" i="13"/>
  <c r="H62" i="13" s="1"/>
  <c r="I62" i="13" s="1"/>
  <c r="J62" i="13"/>
  <c r="G63" i="13"/>
  <c r="H63" i="13" s="1"/>
  <c r="I63" i="13" s="1"/>
  <c r="J63" i="13"/>
  <c r="G64" i="13"/>
  <c r="H64" i="13"/>
  <c r="I64" i="13"/>
  <c r="J64" i="13"/>
  <c r="G65" i="13"/>
  <c r="H65" i="13" s="1"/>
  <c r="I65" i="13" s="1"/>
  <c r="J65" i="13"/>
  <c r="G66" i="13"/>
  <c r="H66" i="13" s="1"/>
  <c r="I66" i="13" s="1"/>
  <c r="J66" i="13"/>
  <c r="G67" i="13"/>
  <c r="H67" i="13"/>
  <c r="I67" i="13"/>
  <c r="J67" i="13"/>
  <c r="G68" i="13"/>
  <c r="H68" i="13" s="1"/>
  <c r="I68" i="13" s="1"/>
  <c r="J68" i="13"/>
  <c r="G69" i="13"/>
  <c r="H69" i="13" s="1"/>
  <c r="I69" i="13" s="1"/>
  <c r="J69" i="13"/>
  <c r="G70" i="13"/>
  <c r="H70" i="13" s="1"/>
  <c r="I70" i="13" s="1"/>
  <c r="J70" i="13"/>
  <c r="G71" i="13"/>
  <c r="H71" i="13"/>
  <c r="I71" i="13"/>
  <c r="J71" i="13"/>
  <c r="G72" i="13"/>
  <c r="H72" i="13" s="1"/>
  <c r="I72" i="13" s="1"/>
  <c r="J72" i="13"/>
  <c r="G73" i="13"/>
  <c r="H73" i="13" s="1"/>
  <c r="I73" i="13" s="1"/>
  <c r="J73" i="13"/>
  <c r="G74" i="13"/>
  <c r="H74" i="13"/>
  <c r="I74" i="13"/>
  <c r="J74" i="13"/>
  <c r="G75" i="13"/>
  <c r="H75" i="13" s="1"/>
  <c r="I75" i="13" s="1"/>
  <c r="J75" i="13"/>
  <c r="G76" i="13"/>
  <c r="H76" i="13" s="1"/>
  <c r="I76" i="13" s="1"/>
  <c r="J76" i="13"/>
  <c r="G77" i="13"/>
  <c r="H77" i="13" s="1"/>
  <c r="I77" i="13" s="1"/>
  <c r="J77" i="13"/>
  <c r="G78" i="13"/>
  <c r="H78" i="13" s="1"/>
  <c r="I78" i="13" s="1"/>
  <c r="J78" i="13"/>
  <c r="G79" i="13"/>
  <c r="H79" i="13" s="1"/>
  <c r="I79" i="13" s="1"/>
  <c r="J79" i="13"/>
  <c r="G80" i="13"/>
  <c r="H80" i="13" s="1"/>
  <c r="I80" i="13" s="1"/>
  <c r="J80" i="13"/>
  <c r="G81" i="13"/>
  <c r="H81" i="13" s="1"/>
  <c r="I81" i="13" s="1"/>
  <c r="J81" i="13"/>
  <c r="G82" i="13"/>
  <c r="H82" i="13"/>
  <c r="I82" i="13"/>
  <c r="J82" i="13"/>
  <c r="G83" i="13"/>
  <c r="H83" i="13" s="1"/>
  <c r="I83" i="13" s="1"/>
  <c r="J83" i="13"/>
  <c r="G84" i="13"/>
  <c r="H84" i="13" s="1"/>
  <c r="I84" i="13" s="1"/>
  <c r="J84" i="13"/>
  <c r="G85" i="13"/>
  <c r="H85" i="13"/>
  <c r="I85" i="13"/>
  <c r="J85" i="13"/>
  <c r="G86" i="13"/>
  <c r="H86" i="13" s="1"/>
  <c r="I86" i="13" s="1"/>
  <c r="J86" i="13"/>
  <c r="G87" i="13"/>
  <c r="H87" i="13" s="1"/>
  <c r="I87" i="13" s="1"/>
  <c r="J87" i="13"/>
  <c r="G88" i="13"/>
  <c r="H88" i="13" s="1"/>
  <c r="I88" i="13" s="1"/>
  <c r="J88" i="13"/>
  <c r="G89" i="13"/>
  <c r="H89" i="13"/>
  <c r="I89" i="13" s="1"/>
  <c r="J89" i="13"/>
  <c r="G90" i="13"/>
  <c r="H90" i="13"/>
  <c r="I90" i="13" s="1"/>
  <c r="J90" i="13"/>
  <c r="G91" i="13"/>
  <c r="H91" i="13" s="1"/>
  <c r="I91" i="13" s="1"/>
  <c r="J91" i="13"/>
  <c r="G92" i="13"/>
  <c r="H92" i="13"/>
  <c r="I92" i="13"/>
  <c r="J92" i="13"/>
  <c r="G93" i="13"/>
  <c r="H93" i="13" s="1"/>
  <c r="I93" i="13" s="1"/>
  <c r="J93" i="13"/>
  <c r="G94" i="13"/>
  <c r="H94" i="13"/>
  <c r="I94" i="13" s="1"/>
  <c r="J94" i="13"/>
  <c r="G95" i="13"/>
  <c r="H95" i="13"/>
  <c r="I95" i="13"/>
  <c r="J95" i="13"/>
  <c r="G96" i="13"/>
  <c r="H96" i="13"/>
  <c r="I96" i="13" s="1"/>
  <c r="J96" i="13"/>
  <c r="G97" i="13"/>
  <c r="H97" i="13" s="1"/>
  <c r="I97" i="13" s="1"/>
  <c r="J97" i="13"/>
  <c r="G98" i="13"/>
  <c r="H98" i="13" s="1"/>
  <c r="I98" i="13" s="1"/>
  <c r="J98" i="13"/>
  <c r="G99" i="13"/>
  <c r="H99" i="13"/>
  <c r="I99" i="13" s="1"/>
  <c r="J99" i="13"/>
  <c r="G100" i="13"/>
  <c r="H100" i="13"/>
  <c r="I100" i="13" s="1"/>
  <c r="J100" i="13"/>
  <c r="G101" i="13"/>
  <c r="H101" i="13"/>
  <c r="I101" i="13" s="1"/>
  <c r="J101" i="13"/>
  <c r="H18" i="11" l="1"/>
  <c r="E83" i="15"/>
  <c r="E82" i="15"/>
  <c r="E80" i="15"/>
  <c r="G80" i="15" s="1"/>
  <c r="H80" i="15" s="1"/>
  <c r="E79" i="15"/>
  <c r="G79" i="15" s="1"/>
  <c r="H79" i="15" s="1"/>
  <c r="G82" i="15"/>
  <c r="H82" i="15" s="1"/>
  <c r="F82" i="15"/>
  <c r="F79" i="15"/>
  <c r="F83" i="15" s="1"/>
  <c r="E62" i="15"/>
  <c r="E61" i="15"/>
  <c r="G61" i="15" s="1"/>
  <c r="H61" i="15" s="1"/>
  <c r="E59" i="15"/>
  <c r="G59" i="15" s="1"/>
  <c r="H59" i="15" s="1"/>
  <c r="E58" i="15"/>
  <c r="G58" i="15" s="1"/>
  <c r="H58" i="15" s="1"/>
  <c r="F61" i="15"/>
  <c r="F58" i="15"/>
  <c r="F62" i="15" s="1"/>
  <c r="G10" i="11"/>
  <c r="F10" i="11"/>
  <c r="G83" i="15" l="1"/>
  <c r="H83" i="15" s="1"/>
  <c r="G62" i="15"/>
  <c r="H62" i="15" s="1"/>
  <c r="F72" i="15" l="1"/>
  <c r="F71" i="15"/>
  <c r="A71" i="15"/>
  <c r="A70" i="15"/>
  <c r="F49" i="15"/>
  <c r="E49" i="15"/>
  <c r="E70" i="15" s="1"/>
  <c r="F21" i="15"/>
  <c r="E21" i="15"/>
  <c r="D21" i="15"/>
  <c r="C21" i="15"/>
  <c r="B21" i="15"/>
  <c r="B28" i="11"/>
  <c r="B27" i="11"/>
  <c r="B26" i="11"/>
  <c r="B25" i="11"/>
  <c r="B24" i="11"/>
  <c r="B35" i="11" s="1"/>
  <c r="B23" i="11"/>
  <c r="G65" i="10"/>
  <c r="F67" i="10"/>
  <c r="A71" i="10"/>
  <c r="A70" i="10"/>
  <c r="A69" i="10"/>
  <c r="A68" i="10"/>
  <c r="A67" i="10"/>
  <c r="A66" i="10"/>
  <c r="A65" i="10"/>
  <c r="B71" i="10"/>
  <c r="B70" i="10"/>
  <c r="B69" i="10"/>
  <c r="B68" i="10"/>
  <c r="B67" i="10"/>
  <c r="B66" i="10"/>
  <c r="F55" i="10"/>
  <c r="F70" i="15" l="1"/>
  <c r="C46" i="10"/>
  <c r="E10" i="11"/>
  <c r="H10" i="11" s="1"/>
  <c r="E9" i="11"/>
  <c r="E8" i="11"/>
  <c r="E7" i="11"/>
  <c r="E4" i="11"/>
  <c r="E3" i="11"/>
  <c r="E54" i="10"/>
  <c r="E81" i="15" l="1"/>
  <c r="G81" i="15" s="1"/>
  <c r="H81" i="15" s="1"/>
  <c r="E60" i="15"/>
  <c r="G60" i="15" s="1"/>
  <c r="H60" i="15" s="1"/>
  <c r="E53" i="15"/>
  <c r="C74" i="15"/>
  <c r="C83" i="15" s="1"/>
  <c r="C73" i="15"/>
  <c r="C82" i="15" s="1"/>
  <c r="C72" i="15"/>
  <c r="C81" i="15" s="1"/>
  <c r="G49" i="15"/>
  <c r="H49" i="15" s="1"/>
  <c r="C52" i="15"/>
  <c r="C61" i="15" s="1"/>
  <c r="C53" i="15"/>
  <c r="C62" i="15" s="1"/>
  <c r="C51" i="15"/>
  <c r="C60" i="15" s="1"/>
  <c r="G5" i="11"/>
  <c r="F58" i="10"/>
  <c r="F57" i="10"/>
  <c r="F56" i="10"/>
  <c r="F70" i="10"/>
  <c r="F69" i="10"/>
  <c r="F68" i="10"/>
  <c r="E74" i="15" l="1"/>
  <c r="J5" i="17"/>
  <c r="H18" i="17"/>
  <c r="G18" i="17"/>
  <c r="H17" i="17"/>
  <c r="G17" i="17"/>
  <c r="H16" i="17"/>
  <c r="G16" i="17"/>
  <c r="H15" i="17"/>
  <c r="G15" i="17"/>
  <c r="H14" i="17"/>
  <c r="G14" i="17"/>
  <c r="H13" i="17"/>
  <c r="G13" i="17"/>
  <c r="H12" i="17"/>
  <c r="G12" i="17"/>
  <c r="H11" i="17"/>
  <c r="G11" i="17"/>
  <c r="H10" i="17"/>
  <c r="G10" i="17"/>
  <c r="H9" i="17"/>
  <c r="G9" i="17"/>
  <c r="B39" i="11"/>
  <c r="B38" i="11"/>
  <c r="B37" i="11"/>
  <c r="B36" i="11"/>
  <c r="B34" i="11"/>
  <c r="D6" i="11"/>
  <c r="D5" i="11"/>
  <c r="G19" i="17" l="1"/>
  <c r="H19" i="17"/>
  <c r="B39" i="20" l="1"/>
  <c r="B38" i="20"/>
  <c r="H34" i="11" l="1"/>
  <c r="H9" i="11"/>
  <c r="G17" i="11" l="1"/>
  <c r="B2" i="20" l="1"/>
  <c r="B3" i="20"/>
  <c r="C19" i="12" l="1"/>
  <c r="M18" i="17" l="1"/>
  <c r="L18" i="17"/>
  <c r="K18" i="17"/>
  <c r="J18" i="17"/>
  <c r="I18" i="17"/>
  <c r="M17" i="17"/>
  <c r="L17" i="17"/>
  <c r="K17" i="17"/>
  <c r="J17" i="17"/>
  <c r="I17" i="17"/>
  <c r="M16" i="17"/>
  <c r="L16" i="17"/>
  <c r="K16" i="17"/>
  <c r="J16" i="17"/>
  <c r="I16" i="17"/>
  <c r="M15" i="17"/>
  <c r="L15" i="17"/>
  <c r="K15" i="17"/>
  <c r="J15" i="17"/>
  <c r="I15" i="17"/>
  <c r="M14" i="17"/>
  <c r="L14" i="17"/>
  <c r="K14" i="17"/>
  <c r="J14" i="17"/>
  <c r="I14" i="17"/>
  <c r="M13" i="17"/>
  <c r="L13" i="17"/>
  <c r="K13" i="17"/>
  <c r="J13" i="17"/>
  <c r="I13" i="17"/>
  <c r="M12" i="17"/>
  <c r="L12" i="17"/>
  <c r="K12" i="17"/>
  <c r="J12" i="17"/>
  <c r="I12" i="17"/>
  <c r="M11" i="17"/>
  <c r="L11" i="17"/>
  <c r="K11" i="17"/>
  <c r="J11" i="17"/>
  <c r="I11" i="17"/>
  <c r="M10" i="17"/>
  <c r="L10" i="17"/>
  <c r="K10" i="17"/>
  <c r="J10" i="17"/>
  <c r="I10" i="17"/>
  <c r="M9" i="17"/>
  <c r="L9" i="17"/>
  <c r="K9" i="17"/>
  <c r="I9" i="17"/>
  <c r="J9" i="17"/>
  <c r="I11" i="16" l="1"/>
  <c r="J11" i="16"/>
  <c r="K11" i="16"/>
  <c r="I12" i="16"/>
  <c r="J12" i="16"/>
  <c r="K12" i="16"/>
  <c r="I13" i="16"/>
  <c r="J13" i="16"/>
  <c r="K13" i="16"/>
  <c r="I14" i="16"/>
  <c r="J14" i="16"/>
  <c r="K14" i="16"/>
  <c r="I15" i="16"/>
  <c r="J15" i="16"/>
  <c r="K15" i="16"/>
  <c r="I16" i="16"/>
  <c r="J16" i="16"/>
  <c r="K16" i="16"/>
  <c r="I17" i="16"/>
  <c r="J17" i="16"/>
  <c r="K17" i="16"/>
  <c r="I18" i="16"/>
  <c r="J18" i="16"/>
  <c r="K18" i="16"/>
  <c r="I9" i="16"/>
  <c r="J9" i="16"/>
  <c r="K9" i="16"/>
  <c r="K10" i="16"/>
  <c r="J10" i="16"/>
  <c r="I10" i="16"/>
  <c r="G6" i="11" l="1"/>
  <c r="F6" i="11"/>
  <c r="E6" i="11"/>
  <c r="E5" i="11"/>
  <c r="C5" i="11"/>
  <c r="C6" i="11"/>
  <c r="D1" i="28" l="1"/>
  <c r="D1" i="9"/>
  <c r="F52" i="15" l="1"/>
  <c r="C50" i="15"/>
  <c r="C59" i="15" s="1"/>
  <c r="E50" i="15"/>
  <c r="E71" i="15" s="1"/>
  <c r="C71" i="15"/>
  <c r="C80" i="15" s="1"/>
  <c r="F73" i="15" l="1"/>
  <c r="F53" i="15"/>
  <c r="G71" i="15"/>
  <c r="H71" i="15" s="1"/>
  <c r="G50" i="15"/>
  <c r="H50" i="15" s="1"/>
  <c r="F74" i="15" l="1"/>
  <c r="G74" i="15" s="1"/>
  <c r="H74" i="15" s="1"/>
  <c r="G53" i="15"/>
  <c r="H53" i="15" s="1"/>
  <c r="D102" i="13"/>
  <c r="B40" i="20" l="1"/>
  <c r="B33" i="20" l="1"/>
  <c r="H1" i="28" l="1"/>
  <c r="F1" i="28"/>
  <c r="E52" i="15" l="1"/>
  <c r="G70" i="15"/>
  <c r="H70" i="15" s="1"/>
  <c r="E51" i="15"/>
  <c r="F71" i="10"/>
  <c r="G52" i="15" l="1"/>
  <c r="H52" i="15" s="1"/>
  <c r="E73" i="15"/>
  <c r="G73" i="15" s="1"/>
  <c r="H73" i="15" s="1"/>
  <c r="G51" i="15"/>
  <c r="H51" i="15" s="1"/>
  <c r="E72" i="15"/>
  <c r="G72" i="15" s="1"/>
  <c r="H72" i="15" s="1"/>
  <c r="F59" i="10"/>
  <c r="J1" i="17"/>
  <c r="J1" i="16"/>
  <c r="D10" i="16" l="1"/>
  <c r="M10" i="16"/>
  <c r="D11" i="16"/>
  <c r="F11" i="16" s="1"/>
  <c r="L11" i="16"/>
  <c r="D12" i="16"/>
  <c r="N12" i="16" s="1"/>
  <c r="L12" i="16"/>
  <c r="M12" i="16"/>
  <c r="D13" i="16"/>
  <c r="L13" i="16"/>
  <c r="M13" i="16"/>
  <c r="D14" i="16"/>
  <c r="L14" i="16"/>
  <c r="M14" i="16"/>
  <c r="D15" i="16"/>
  <c r="L15" i="16"/>
  <c r="M15" i="16"/>
  <c r="D16" i="16"/>
  <c r="M16" i="16" s="1"/>
  <c r="L16" i="16"/>
  <c r="D17" i="16"/>
  <c r="N17" i="16" s="1"/>
  <c r="M17" i="16"/>
  <c r="D18" i="16"/>
  <c r="L18" i="16"/>
  <c r="M18" i="16"/>
  <c r="N10" i="16" l="1"/>
  <c r="F10" i="16"/>
  <c r="L17" i="16"/>
  <c r="M11" i="16"/>
  <c r="L10" i="16"/>
  <c r="H17" i="16"/>
  <c r="N11" i="16"/>
  <c r="H15" i="16"/>
  <c r="F15" i="16"/>
  <c r="N15" i="16"/>
  <c r="G13" i="16"/>
  <c r="N13" i="16"/>
  <c r="E11" i="16"/>
  <c r="E14" i="16"/>
  <c r="N14" i="16"/>
  <c r="F14" i="16"/>
  <c r="G14" i="16"/>
  <c r="H14" i="16"/>
  <c r="H18" i="16"/>
  <c r="E18" i="16"/>
  <c r="H11" i="16"/>
  <c r="E16" i="16"/>
  <c r="F16" i="16"/>
  <c r="H16" i="16"/>
  <c r="N16" i="16"/>
  <c r="E17" i="16"/>
  <c r="E15" i="16"/>
  <c r="N18" i="16"/>
  <c r="E10" i="16"/>
  <c r="G10" i="16"/>
  <c r="H10" i="16"/>
  <c r="E13" i="16"/>
  <c r="F13" i="16"/>
  <c r="H13" i="16"/>
  <c r="F12" i="16"/>
  <c r="G12" i="16"/>
  <c r="E12" i="16"/>
  <c r="H12" i="16"/>
  <c r="F18" i="16"/>
  <c r="G18" i="16"/>
  <c r="F17" i="16"/>
  <c r="G17" i="16"/>
  <c r="G16" i="16"/>
  <c r="G15" i="16"/>
  <c r="G11" i="16"/>
  <c r="D10" i="17"/>
  <c r="E10" i="17" s="1"/>
  <c r="N10" i="17"/>
  <c r="O10" i="17"/>
  <c r="Q10" i="17"/>
  <c r="R10" i="17"/>
  <c r="D11" i="17"/>
  <c r="N11" i="17" s="1"/>
  <c r="Q11" i="17"/>
  <c r="D12" i="17"/>
  <c r="F12" i="17" s="1"/>
  <c r="E12" i="17"/>
  <c r="N12" i="17"/>
  <c r="O12" i="17"/>
  <c r="P12" i="17"/>
  <c r="Q12" i="17"/>
  <c r="R12" i="17"/>
  <c r="D13" i="17"/>
  <c r="N13" i="17"/>
  <c r="D14" i="17"/>
  <c r="N14" i="17"/>
  <c r="O14" i="17"/>
  <c r="Q14" i="17"/>
  <c r="R14" i="17"/>
  <c r="D15" i="17"/>
  <c r="N15" i="17"/>
  <c r="R15" i="17"/>
  <c r="D16" i="17"/>
  <c r="P16" i="17" s="1"/>
  <c r="N16" i="17"/>
  <c r="O16" i="17"/>
  <c r="Q16" i="17"/>
  <c r="R16" i="17"/>
  <c r="D17" i="17"/>
  <c r="R17" i="17"/>
  <c r="D18" i="17"/>
  <c r="E18" i="17" s="1"/>
  <c r="N18" i="17"/>
  <c r="O18" i="17"/>
  <c r="P18" i="17"/>
  <c r="Q18" i="17"/>
  <c r="R18" i="17"/>
  <c r="E14" i="17" l="1"/>
  <c r="P14" i="17"/>
  <c r="F18" i="17"/>
  <c r="P10" i="17"/>
  <c r="E16" i="17"/>
  <c r="F16" i="17"/>
  <c r="F14" i="17"/>
  <c r="F10" i="17"/>
  <c r="E17" i="17"/>
  <c r="O17" i="17"/>
  <c r="F17" i="17"/>
  <c r="P17" i="17"/>
  <c r="Q17" i="17"/>
  <c r="E15" i="17"/>
  <c r="O15" i="17"/>
  <c r="F15" i="17"/>
  <c r="P15" i="17"/>
  <c r="E13" i="17"/>
  <c r="O13" i="17"/>
  <c r="F13" i="17"/>
  <c r="P13" i="17"/>
  <c r="Q13" i="17"/>
  <c r="E11" i="17"/>
  <c r="O11" i="17"/>
  <c r="F11" i="17"/>
  <c r="P11" i="17"/>
  <c r="N17" i="17"/>
  <c r="Q15" i="17"/>
  <c r="R13" i="17"/>
  <c r="R11" i="17"/>
  <c r="J5" i="16"/>
  <c r="D9" i="16" l="1"/>
  <c r="K19" i="16"/>
  <c r="J19" i="16"/>
  <c r="I19" i="16"/>
  <c r="B19" i="16"/>
  <c r="K22" i="16" s="1"/>
  <c r="E12" i="10" l="1"/>
  <c r="C3" i="20"/>
  <c r="L9" i="16"/>
  <c r="N9" i="16"/>
  <c r="H9" i="16"/>
  <c r="F9" i="16"/>
  <c r="E9" i="16"/>
  <c r="M9" i="16"/>
  <c r="G9" i="16"/>
  <c r="D19" i="16"/>
  <c r="D9" i="17"/>
  <c r="E9" i="17" l="1"/>
  <c r="F9" i="17"/>
  <c r="C13" i="10"/>
  <c r="C29" i="10" s="1"/>
  <c r="B12" i="12" s="1"/>
  <c r="D12" i="12" s="1"/>
  <c r="E19" i="16"/>
  <c r="H19" i="16"/>
  <c r="C59" i="10" s="1"/>
  <c r="F19" i="16"/>
  <c r="G19" i="16"/>
  <c r="C58" i="10" s="1"/>
  <c r="C55" i="10" l="1"/>
  <c r="C67" i="10" s="1"/>
  <c r="C54" i="10"/>
  <c r="C8" i="9" s="1"/>
  <c r="B7" i="20" s="1"/>
  <c r="A28" i="11"/>
  <c r="B53" i="15"/>
  <c r="F3" i="15"/>
  <c r="G28" i="11"/>
  <c r="C71" i="10"/>
  <c r="B19" i="24"/>
  <c r="C19" i="24" s="1"/>
  <c r="B52" i="15"/>
  <c r="A27" i="11"/>
  <c r="E5" i="15" s="1"/>
  <c r="E3" i="15"/>
  <c r="C70" i="10"/>
  <c r="G70" i="10" s="1"/>
  <c r="G27" i="11"/>
  <c r="E9" i="15" s="1"/>
  <c r="G58" i="10"/>
  <c r="D52" i="15" l="1"/>
  <c r="I52" i="15" s="1"/>
  <c r="B61" i="15"/>
  <c r="D61" i="15" s="1"/>
  <c r="I61" i="15" s="1"/>
  <c r="D53" i="15"/>
  <c r="I53" i="15" s="1"/>
  <c r="B62" i="15"/>
  <c r="D62" i="15" s="1"/>
  <c r="I62" i="15" s="1"/>
  <c r="G24" i="11"/>
  <c r="I24" i="11" s="1"/>
  <c r="A24" i="11"/>
  <c r="D24" i="11" s="1"/>
  <c r="C66" i="10"/>
  <c r="A34" i="11" s="1"/>
  <c r="D34" i="11" s="1"/>
  <c r="B3" i="15"/>
  <c r="B49" i="15"/>
  <c r="A23" i="11"/>
  <c r="B5" i="15" s="1"/>
  <c r="F24" i="11"/>
  <c r="A35" i="11"/>
  <c r="G35" i="11"/>
  <c r="D19" i="24"/>
  <c r="G19" i="24"/>
  <c r="H19" i="24" s="1"/>
  <c r="B74" i="15"/>
  <c r="G8" i="28"/>
  <c r="F22" i="15"/>
  <c r="G39" i="11"/>
  <c r="A39" i="11"/>
  <c r="F24" i="15" s="1"/>
  <c r="I28" i="11"/>
  <c r="H7" i="15"/>
  <c r="K28" i="11"/>
  <c r="F28" i="11"/>
  <c r="D28" i="11"/>
  <c r="I27" i="11"/>
  <c r="K27" i="11"/>
  <c r="E22" i="15"/>
  <c r="A38" i="11"/>
  <c r="F8" i="28"/>
  <c r="B73" i="15"/>
  <c r="G38" i="11"/>
  <c r="E28" i="15" s="1"/>
  <c r="F27" i="11"/>
  <c r="E12" i="15" s="1"/>
  <c r="D27" i="11"/>
  <c r="F54" i="10"/>
  <c r="G23" i="11"/>
  <c r="F66" i="10"/>
  <c r="G34" i="11" l="1"/>
  <c r="B9" i="15"/>
  <c r="K24" i="11"/>
  <c r="B70" i="15"/>
  <c r="B79" i="15" s="1"/>
  <c r="B22" i="15"/>
  <c r="C8" i="28"/>
  <c r="F34" i="11"/>
  <c r="E6" i="15"/>
  <c r="D74" i="15"/>
  <c r="I74" i="15" s="1"/>
  <c r="B83" i="15"/>
  <c r="D83" i="15" s="1"/>
  <c r="I83" i="15" s="1"/>
  <c r="C49" i="15"/>
  <c r="C58" i="15" s="1"/>
  <c r="B58" i="15"/>
  <c r="D73" i="15"/>
  <c r="I73" i="15" s="1"/>
  <c r="B82" i="15"/>
  <c r="D82" i="15" s="1"/>
  <c r="I82" i="15" s="1"/>
  <c r="B24" i="15"/>
  <c r="D23" i="11"/>
  <c r="F23" i="11"/>
  <c r="B12" i="15" s="1"/>
  <c r="B28" i="15"/>
  <c r="K35" i="11"/>
  <c r="I35" i="11"/>
  <c r="F35" i="11"/>
  <c r="D35" i="11"/>
  <c r="I19" i="24"/>
  <c r="F39" i="11"/>
  <c r="D39" i="11"/>
  <c r="I39" i="11"/>
  <c r="K39" i="11"/>
  <c r="F26" i="15"/>
  <c r="K38" i="11"/>
  <c r="E33" i="15" s="1"/>
  <c r="I38" i="11"/>
  <c r="D38" i="11"/>
  <c r="F38" i="11"/>
  <c r="E24" i="15"/>
  <c r="K23" i="11"/>
  <c r="I23" i="11"/>
  <c r="I34" i="11"/>
  <c r="K34" i="11"/>
  <c r="A12" i="10"/>
  <c r="C70" i="15" l="1"/>
  <c r="D49" i="15"/>
  <c r="I49" i="15" s="1"/>
  <c r="B6" i="15"/>
  <c r="F25" i="15"/>
  <c r="B25" i="15"/>
  <c r="D58" i="15"/>
  <c r="B31" i="15"/>
  <c r="B33" i="15"/>
  <c r="B14" i="15"/>
  <c r="B11" i="15"/>
  <c r="B30" i="15"/>
  <c r="F30" i="15"/>
  <c r="F31" i="15"/>
  <c r="G26" i="15"/>
  <c r="F32" i="15"/>
  <c r="F27" i="15"/>
  <c r="E31" i="15"/>
  <c r="E30" i="15"/>
  <c r="E25" i="15"/>
  <c r="C2" i="10"/>
  <c r="C3" i="10"/>
  <c r="C79" i="15" l="1"/>
  <c r="D79" i="15" s="1"/>
  <c r="I79" i="15" s="1"/>
  <c r="D70" i="15"/>
  <c r="I70" i="15" s="1"/>
  <c r="I58" i="15"/>
  <c r="G27" i="15"/>
  <c r="C20" i="12"/>
  <c r="C21" i="12" s="1"/>
  <c r="M19" i="16" l="1"/>
  <c r="M23" i="16" l="1"/>
  <c r="B7" i="24"/>
  <c r="N19" i="16"/>
  <c r="L19" i="16"/>
  <c r="N22" i="16" s="1"/>
  <c r="L23" i="16" l="1"/>
  <c r="B6" i="24"/>
  <c r="N23" i="16"/>
  <c r="E24" i="10"/>
  <c r="J49" i="13"/>
  <c r="G49" i="13"/>
  <c r="H49" i="13" s="1"/>
  <c r="J48" i="13"/>
  <c r="G48" i="13"/>
  <c r="H48" i="13" s="1"/>
  <c r="J47" i="13"/>
  <c r="G47" i="13"/>
  <c r="H47" i="13" s="1"/>
  <c r="J46" i="13"/>
  <c r="G46" i="13"/>
  <c r="H46" i="13" s="1"/>
  <c r="J45" i="13"/>
  <c r="G45" i="13"/>
  <c r="H45" i="13" s="1"/>
  <c r="J44" i="13"/>
  <c r="G44" i="13"/>
  <c r="H44" i="13" s="1"/>
  <c r="J43" i="13"/>
  <c r="G43" i="13"/>
  <c r="H43" i="13" s="1"/>
  <c r="J42" i="13"/>
  <c r="G42" i="13"/>
  <c r="H42" i="13" s="1"/>
  <c r="J41" i="13"/>
  <c r="G41" i="13"/>
  <c r="H41" i="13" s="1"/>
  <c r="J40" i="13"/>
  <c r="G40" i="13"/>
  <c r="H40" i="13" s="1"/>
  <c r="J39" i="13"/>
  <c r="G39" i="13"/>
  <c r="H39" i="13" s="1"/>
  <c r="J38" i="13"/>
  <c r="G38" i="13"/>
  <c r="H38" i="13" s="1"/>
  <c r="J37" i="13"/>
  <c r="G37" i="13"/>
  <c r="H37" i="13" s="1"/>
  <c r="J36" i="13"/>
  <c r="G36" i="13"/>
  <c r="H36" i="13" s="1"/>
  <c r="J35" i="13"/>
  <c r="G35" i="13"/>
  <c r="H35" i="13" s="1"/>
  <c r="J34" i="13"/>
  <c r="G34" i="13"/>
  <c r="H34" i="13" s="1"/>
  <c r="J33" i="13"/>
  <c r="G33" i="13"/>
  <c r="H33" i="13" s="1"/>
  <c r="J32" i="13"/>
  <c r="G32" i="13"/>
  <c r="H32" i="13" s="1"/>
  <c r="J31" i="13"/>
  <c r="G31" i="13"/>
  <c r="H31" i="13" s="1"/>
  <c r="J30" i="13"/>
  <c r="G30" i="13"/>
  <c r="H30" i="13" s="1"/>
  <c r="J29" i="13"/>
  <c r="G29" i="13"/>
  <c r="H29" i="13" s="1"/>
  <c r="J28" i="13"/>
  <c r="G28" i="13"/>
  <c r="H28" i="13" s="1"/>
  <c r="J27" i="13"/>
  <c r="G27" i="13"/>
  <c r="H27" i="13" s="1"/>
  <c r="J26" i="13"/>
  <c r="G26" i="13"/>
  <c r="H26" i="13" s="1"/>
  <c r="J25" i="13"/>
  <c r="G25" i="13"/>
  <c r="H25" i="13" s="1"/>
  <c r="J24" i="13"/>
  <c r="G24" i="13"/>
  <c r="H24" i="13" s="1"/>
  <c r="J23" i="13"/>
  <c r="G23" i="13"/>
  <c r="H23" i="13" s="1"/>
  <c r="J22" i="13"/>
  <c r="G22" i="13"/>
  <c r="H22" i="13" s="1"/>
  <c r="J21" i="13"/>
  <c r="G21" i="13"/>
  <c r="H21" i="13" s="1"/>
  <c r="J20" i="13"/>
  <c r="G20" i="13"/>
  <c r="H20" i="13" s="1"/>
  <c r="J19" i="13"/>
  <c r="G19" i="13"/>
  <c r="H19" i="13" s="1"/>
  <c r="J18" i="13"/>
  <c r="G18" i="13"/>
  <c r="H18" i="13" s="1"/>
  <c r="J17" i="13"/>
  <c r="G17" i="13"/>
  <c r="H17" i="13" s="1"/>
  <c r="J16" i="13"/>
  <c r="G16" i="13"/>
  <c r="H16" i="13" s="1"/>
  <c r="J15" i="13"/>
  <c r="G15" i="13"/>
  <c r="H15" i="13" s="1"/>
  <c r="J14" i="13"/>
  <c r="G14" i="13"/>
  <c r="H14" i="13" s="1"/>
  <c r="J13" i="13"/>
  <c r="G13" i="13"/>
  <c r="H13" i="13" s="1"/>
  <c r="J12" i="13"/>
  <c r="G12" i="13"/>
  <c r="H12" i="13" s="1"/>
  <c r="J11" i="13"/>
  <c r="G11" i="13"/>
  <c r="H11" i="13" s="1"/>
  <c r="I46" i="13" l="1"/>
  <c r="I19" i="13"/>
  <c r="I21" i="13"/>
  <c r="I23" i="13"/>
  <c r="I25" i="13"/>
  <c r="I27" i="13"/>
  <c r="I29" i="13"/>
  <c r="I31" i="13"/>
  <c r="I33" i="13"/>
  <c r="I35" i="13"/>
  <c r="I37" i="13"/>
  <c r="I39" i="13"/>
  <c r="I41" i="13"/>
  <c r="I42" i="13"/>
  <c r="I44" i="13"/>
  <c r="I12" i="13"/>
  <c r="I14" i="13"/>
  <c r="I16" i="13"/>
  <c r="I18" i="13"/>
  <c r="I48" i="13"/>
  <c r="I20" i="13"/>
  <c r="I22" i="13"/>
  <c r="I24" i="13"/>
  <c r="I26" i="13"/>
  <c r="I28" i="13"/>
  <c r="I30" i="13"/>
  <c r="I32" i="13"/>
  <c r="I34" i="13"/>
  <c r="I36" i="13"/>
  <c r="I38" i="13"/>
  <c r="I40" i="13"/>
  <c r="I43" i="13"/>
  <c r="I45" i="13"/>
  <c r="I11" i="13"/>
  <c r="I13" i="13"/>
  <c r="I15" i="13"/>
  <c r="I17" i="13"/>
  <c r="I47" i="13"/>
  <c r="I49" i="13"/>
  <c r="B4" i="20"/>
  <c r="J2" i="13" l="1"/>
  <c r="G2" i="13"/>
  <c r="H2" i="13" s="1"/>
  <c r="I2" i="13" l="1"/>
  <c r="C7" i="10" l="1"/>
  <c r="H1" i="9"/>
  <c r="F1" i="9"/>
  <c r="M19" i="17" l="1"/>
  <c r="L19" i="17"/>
  <c r="K19" i="17"/>
  <c r="J19" i="17"/>
  <c r="I19" i="17"/>
  <c r="B19" i="17"/>
  <c r="E13" i="10" l="1"/>
  <c r="M22" i="17"/>
  <c r="C12" i="10"/>
  <c r="R9" i="17"/>
  <c r="R19" i="17" s="1"/>
  <c r="R23" i="17" s="1"/>
  <c r="P9" i="17"/>
  <c r="P19" i="17" s="1"/>
  <c r="P23" i="17" s="1"/>
  <c r="N9" i="17"/>
  <c r="N19" i="17" s="1"/>
  <c r="Q9" i="17"/>
  <c r="O9" i="17"/>
  <c r="N23" i="17" l="1"/>
  <c r="B8" i="24"/>
  <c r="F5" i="15"/>
  <c r="F12" i="15" l="1"/>
  <c r="G8" i="9"/>
  <c r="B11" i="20" s="1"/>
  <c r="B20" i="24"/>
  <c r="A13" i="10"/>
  <c r="A14" i="10" s="1"/>
  <c r="A15" i="10" s="1"/>
  <c r="A16" i="10" s="1"/>
  <c r="A17" i="10" s="1"/>
  <c r="G20" i="24" l="1"/>
  <c r="D20" i="24"/>
  <c r="F6" i="15"/>
  <c r="C20" i="24"/>
  <c r="A18" i="10"/>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I20" i="24" l="1"/>
  <c r="H20" i="24"/>
  <c r="G3" i="13" l="1"/>
  <c r="H3" i="13" s="1"/>
  <c r="G4" i="13"/>
  <c r="H4" i="13" s="1"/>
  <c r="G5" i="13"/>
  <c r="H5" i="13" s="1"/>
  <c r="G6" i="13"/>
  <c r="H6" i="13" s="1"/>
  <c r="G7" i="13"/>
  <c r="H7" i="13" s="1"/>
  <c r="G8" i="13"/>
  <c r="H8" i="13" s="1"/>
  <c r="G9" i="13"/>
  <c r="H9" i="13" s="1"/>
  <c r="G10" i="13"/>
  <c r="H10" i="13" s="1"/>
  <c r="C16" i="12"/>
  <c r="C17" i="12"/>
  <c r="C18" i="12"/>
  <c r="J10" i="13"/>
  <c r="J9" i="13"/>
  <c r="J8" i="13"/>
  <c r="J7" i="13"/>
  <c r="J6" i="13"/>
  <c r="J5" i="13"/>
  <c r="J4" i="13"/>
  <c r="J3" i="13"/>
  <c r="C24" i="12"/>
  <c r="C23" i="12"/>
  <c r="D105" i="13" l="1"/>
  <c r="F11" i="15"/>
  <c r="G10" i="9" s="1"/>
  <c r="I7" i="13"/>
  <c r="I3" i="13"/>
  <c r="I10" i="13"/>
  <c r="I6" i="13"/>
  <c r="I9" i="13"/>
  <c r="I5" i="13"/>
  <c r="I8" i="13"/>
  <c r="I4" i="13"/>
  <c r="B9" i="12"/>
  <c r="F7" i="15"/>
  <c r="D103" i="13" l="1"/>
  <c r="D104" i="13" s="1"/>
  <c r="G7" i="15"/>
  <c r="F13" i="15"/>
  <c r="F8" i="15"/>
  <c r="C9" i="12" l="1"/>
  <c r="G8" i="15"/>
  <c r="D9" i="12"/>
  <c r="O19" i="17" l="1"/>
  <c r="D19" i="17"/>
  <c r="O23" i="17" l="1"/>
  <c r="B9" i="24"/>
  <c r="C19" i="17"/>
  <c r="C14" i="10"/>
  <c r="N20" i="17"/>
  <c r="R20" i="17"/>
  <c r="C15" i="10" s="1"/>
  <c r="P20" i="17"/>
  <c r="O20" i="17"/>
  <c r="E19" i="17"/>
  <c r="C56" i="10" s="1"/>
  <c r="G56" i="10" s="1"/>
  <c r="F19" i="17"/>
  <c r="C57" i="10" s="1"/>
  <c r="Q19" i="17"/>
  <c r="Q23" i="17" s="1"/>
  <c r="R22" i="17" l="1"/>
  <c r="H22" i="17"/>
  <c r="C60" i="10"/>
  <c r="G26" i="11"/>
  <c r="B51" i="15"/>
  <c r="A26" i="11"/>
  <c r="E8" i="9"/>
  <c r="C69" i="10"/>
  <c r="D3" i="15"/>
  <c r="G57" i="10"/>
  <c r="C30" i="10"/>
  <c r="B13" i="12" s="1"/>
  <c r="D13" i="12" s="1"/>
  <c r="C9" i="10"/>
  <c r="C18" i="10"/>
  <c r="B10" i="12" s="1"/>
  <c r="E27" i="10"/>
  <c r="B10" i="24"/>
  <c r="Q20" i="17"/>
  <c r="C17" i="10"/>
  <c r="C20" i="10" s="1"/>
  <c r="B5" i="12" s="1"/>
  <c r="F35" i="15" l="1"/>
  <c r="B35" i="15"/>
  <c r="E35" i="15"/>
  <c r="C35" i="15"/>
  <c r="D16" i="15"/>
  <c r="C16" i="15"/>
  <c r="D35" i="15"/>
  <c r="E16" i="15"/>
  <c r="F16" i="15"/>
  <c r="B16" i="15"/>
  <c r="D51" i="15"/>
  <c r="B60" i="15"/>
  <c r="D60" i="15" s="1"/>
  <c r="I60" i="15" s="1"/>
  <c r="C10" i="10"/>
  <c r="B17" i="15"/>
  <c r="E8" i="28"/>
  <c r="G69" i="10"/>
  <c r="G25" i="11"/>
  <c r="D8" i="9"/>
  <c r="B8" i="20" s="1"/>
  <c r="C3" i="15"/>
  <c r="G3" i="15" s="1"/>
  <c r="A25" i="11"/>
  <c r="C68" i="10"/>
  <c r="E36" i="15"/>
  <c r="B72" i="15"/>
  <c r="A37" i="11"/>
  <c r="D22" i="15"/>
  <c r="G37" i="11"/>
  <c r="D26" i="11"/>
  <c r="F26" i="11"/>
  <c r="D5" i="15"/>
  <c r="K26" i="11"/>
  <c r="D9" i="15"/>
  <c r="I26" i="11"/>
  <c r="B50" i="15"/>
  <c r="F17" i="15"/>
  <c r="F36" i="15"/>
  <c r="E17" i="15"/>
  <c r="E4" i="15" s="1"/>
  <c r="B36" i="15"/>
  <c r="B18" i="24"/>
  <c r="B12" i="20"/>
  <c r="C11" i="20" s="1"/>
  <c r="B14" i="12"/>
  <c r="C16" i="10"/>
  <c r="C10" i="12"/>
  <c r="D10" i="12" s="1"/>
  <c r="F23" i="15" l="1"/>
  <c r="G9" i="28" s="1"/>
  <c r="E23" i="15"/>
  <c r="F4" i="15"/>
  <c r="G16" i="15"/>
  <c r="B23" i="15"/>
  <c r="C9" i="28" s="1"/>
  <c r="B4" i="15"/>
  <c r="G35" i="15"/>
  <c r="D50" i="15"/>
  <c r="D54" i="15" s="1"/>
  <c r="B59" i="15"/>
  <c r="D59" i="15" s="1"/>
  <c r="D72" i="15"/>
  <c r="I72" i="15" s="1"/>
  <c r="D36" i="15" s="1"/>
  <c r="B81" i="15"/>
  <c r="D81" i="15" s="1"/>
  <c r="I81" i="15" s="1"/>
  <c r="B10" i="15"/>
  <c r="C9" i="15"/>
  <c r="G9" i="15" s="1"/>
  <c r="I25" i="11"/>
  <c r="K25" i="11"/>
  <c r="C72" i="10"/>
  <c r="G68" i="10"/>
  <c r="C5" i="15"/>
  <c r="F25" i="11"/>
  <c r="D25" i="11"/>
  <c r="B29" i="15"/>
  <c r="C8" i="20"/>
  <c r="A36" i="11"/>
  <c r="B71" i="15"/>
  <c r="G36" i="11"/>
  <c r="C22" i="15"/>
  <c r="G22" i="15" s="1"/>
  <c r="H26" i="15" s="1"/>
  <c r="D8" i="28"/>
  <c r="H8" i="28" s="1"/>
  <c r="C3" i="28" s="1"/>
  <c r="D12" i="15"/>
  <c r="D14" i="15"/>
  <c r="D11" i="15"/>
  <c r="E10" i="9" s="1"/>
  <c r="D6" i="15"/>
  <c r="K37" i="11"/>
  <c r="D28" i="15"/>
  <c r="I37" i="11"/>
  <c r="F37" i="11"/>
  <c r="D24" i="15"/>
  <c r="D37" i="11"/>
  <c r="C17" i="24"/>
  <c r="D17" i="24"/>
  <c r="G17" i="24"/>
  <c r="D18" i="24"/>
  <c r="G18" i="24"/>
  <c r="C18" i="24"/>
  <c r="I50" i="15"/>
  <c r="C17" i="15" s="1"/>
  <c r="G9" i="9"/>
  <c r="E29" i="15"/>
  <c r="F9" i="28"/>
  <c r="C19" i="10"/>
  <c r="E15" i="10"/>
  <c r="D23" i="15" l="1"/>
  <c r="E9" i="28" s="1"/>
  <c r="C4" i="15"/>
  <c r="D9" i="9" s="1"/>
  <c r="D71" i="15"/>
  <c r="D75" i="15" s="1"/>
  <c r="B80" i="15"/>
  <c r="D80" i="15" s="1"/>
  <c r="I59" i="15"/>
  <c r="I63" i="15" s="1"/>
  <c r="D63" i="15"/>
  <c r="C14" i="15"/>
  <c r="C12" i="15"/>
  <c r="C10" i="15"/>
  <c r="G16" i="28"/>
  <c r="C6" i="15"/>
  <c r="F36" i="11"/>
  <c r="D36" i="11"/>
  <c r="C28" i="15"/>
  <c r="J26" i="15" s="1"/>
  <c r="K36" i="11"/>
  <c r="I36" i="11"/>
  <c r="C10" i="28"/>
  <c r="C16" i="28"/>
  <c r="C13" i="28"/>
  <c r="C11" i="15"/>
  <c r="D10" i="9" s="1"/>
  <c r="I71" i="15"/>
  <c r="I75" i="15" s="1"/>
  <c r="C24" i="15"/>
  <c r="G24" i="15" s="1"/>
  <c r="C36" i="15"/>
  <c r="G36" i="15" s="1"/>
  <c r="D29" i="15"/>
  <c r="D33" i="15"/>
  <c r="D25" i="15"/>
  <c r="D31" i="15"/>
  <c r="D30" i="15"/>
  <c r="I17" i="24"/>
  <c r="H17" i="24"/>
  <c r="H18" i="24"/>
  <c r="I18" i="24"/>
  <c r="G10" i="28"/>
  <c r="G11" i="28" s="1"/>
  <c r="G27" i="28"/>
  <c r="G28" i="28" s="1"/>
  <c r="G31" i="28"/>
  <c r="G32" i="28" s="1"/>
  <c r="G13" i="28"/>
  <c r="G13" i="9"/>
  <c r="G11" i="9"/>
  <c r="G31" i="9"/>
  <c r="G32" i="9" s="1"/>
  <c r="G27" i="9"/>
  <c r="E3" i="28"/>
  <c r="G3" i="28"/>
  <c r="F3" i="28"/>
  <c r="D3" i="28"/>
  <c r="C31" i="28"/>
  <c r="C27" i="28"/>
  <c r="C28" i="28" s="1"/>
  <c r="F10" i="28"/>
  <c r="F11" i="28" s="1"/>
  <c r="F27" i="28"/>
  <c r="F28" i="28" s="1"/>
  <c r="F13" i="28"/>
  <c r="F31" i="28"/>
  <c r="F32" i="28" s="1"/>
  <c r="B4" i="12"/>
  <c r="B7" i="12" s="1"/>
  <c r="D31" i="9" l="1"/>
  <c r="D32" i="9" s="1"/>
  <c r="D16" i="9"/>
  <c r="E31" i="28"/>
  <c r="E32" i="28" s="1"/>
  <c r="C23" i="15"/>
  <c r="G23" i="15"/>
  <c r="H63" i="15"/>
  <c r="I80" i="15"/>
  <c r="I84" i="15" s="1"/>
  <c r="D84" i="15"/>
  <c r="G28" i="15"/>
  <c r="H28" i="15" s="1"/>
  <c r="C30" i="15"/>
  <c r="H29" i="15"/>
  <c r="C33" i="15"/>
  <c r="D27" i="9"/>
  <c r="D28" i="9" s="1"/>
  <c r="C25" i="15"/>
  <c r="G25" i="15" s="1"/>
  <c r="C31" i="15"/>
  <c r="H24" i="15"/>
  <c r="D9" i="28"/>
  <c r="D31" i="28" s="1"/>
  <c r="D32" i="28" s="1"/>
  <c r="D13" i="9"/>
  <c r="D11" i="9"/>
  <c r="C29" i="15"/>
  <c r="H75" i="15"/>
  <c r="E13" i="28"/>
  <c r="E27" i="28"/>
  <c r="E28" i="28" s="1"/>
  <c r="E10" i="28"/>
  <c r="E11" i="28" s="1"/>
  <c r="H27" i="15"/>
  <c r="C11" i="28"/>
  <c r="C32" i="28"/>
  <c r="G29" i="15" l="1"/>
  <c r="H84" i="15"/>
  <c r="H9" i="28"/>
  <c r="H33" i="28" s="1"/>
  <c r="H34" i="28" s="1"/>
  <c r="D27" i="28"/>
  <c r="D28" i="28" s="1"/>
  <c r="H28" i="28" s="1"/>
  <c r="D10" i="28"/>
  <c r="D11" i="28" s="1"/>
  <c r="D13" i="28"/>
  <c r="H13" i="28" s="1"/>
  <c r="H31" i="28"/>
  <c r="E14" i="15"/>
  <c r="F8" i="9"/>
  <c r="H27" i="28" l="1"/>
  <c r="H10" i="28"/>
  <c r="H11" i="28" s="1"/>
  <c r="E23" i="20" s="1"/>
  <c r="H32" i="28"/>
  <c r="H36" i="28" s="1"/>
  <c r="H40" i="28" s="1"/>
  <c r="H41" i="28" s="1"/>
  <c r="E11" i="15"/>
  <c r="F10" i="9" s="1"/>
  <c r="B10" i="20"/>
  <c r="H8" i="9" l="1"/>
  <c r="G16" i="9" s="1"/>
  <c r="I51" i="15" l="1"/>
  <c r="B9" i="20"/>
  <c r="G5" i="15"/>
  <c r="I54" i="15" l="1"/>
  <c r="D17" i="15"/>
  <c r="D4" i="15" s="1"/>
  <c r="J7" i="15"/>
  <c r="E9" i="9" l="1"/>
  <c r="E16" i="9" s="1"/>
  <c r="G17" i="15"/>
  <c r="G4" i="15" s="1"/>
  <c r="D10" i="15"/>
  <c r="E31" i="9" l="1"/>
  <c r="E32" i="9" s="1"/>
  <c r="E27" i="9"/>
  <c r="E13" i="9"/>
  <c r="E11" i="9"/>
  <c r="D3" i="9" l="1"/>
  <c r="L20" i="16"/>
  <c r="C23" i="10" s="1"/>
  <c r="C26" i="10" s="1"/>
  <c r="C19" i="16"/>
  <c r="C28" i="10" s="1"/>
  <c r="H22" i="16"/>
  <c r="M20" i="16"/>
  <c r="C22" i="10" s="1"/>
  <c r="B16" i="24"/>
  <c r="D16" i="24" s="1"/>
  <c r="B21" i="24" l="1"/>
  <c r="D21" i="24"/>
  <c r="G16" i="24"/>
  <c r="C25" i="10"/>
  <c r="C16" i="24"/>
  <c r="C21" i="24" s="1"/>
  <c r="B3" i="12"/>
  <c r="N20" i="16"/>
  <c r="C21" i="10" s="1"/>
  <c r="B5" i="24"/>
  <c r="E21" i="10" l="1"/>
  <c r="E26" i="10"/>
  <c r="E28" i="10" s="1"/>
  <c r="G21" i="24"/>
  <c r="I16" i="24"/>
  <c r="I21" i="24" s="1"/>
  <c r="H16" i="24"/>
  <c r="H21" i="24" s="1"/>
  <c r="B2" i="12"/>
  <c r="B6" i="12" s="1"/>
  <c r="H54" i="15"/>
  <c r="E16" i="20"/>
  <c r="E15" i="20"/>
  <c r="C30" i="20"/>
  <c r="C32" i="20"/>
  <c r="C31" i="20"/>
  <c r="C33" i="20"/>
  <c r="H10" i="15"/>
  <c r="G6" i="15"/>
  <c r="C24" i="10"/>
  <c r="C3" i="9"/>
  <c r="C7" i="20"/>
  <c r="H9" i="15"/>
  <c r="C40" i="20"/>
  <c r="C39" i="20"/>
  <c r="C9" i="20"/>
  <c r="C38" i="20"/>
  <c r="C10" i="20"/>
  <c r="F3" i="9"/>
  <c r="E3" i="9"/>
  <c r="G3" i="9"/>
  <c r="D2" i="12" l="1"/>
  <c r="D3" i="12"/>
  <c r="C15" i="12"/>
  <c r="D15" i="12" s="1"/>
  <c r="H8" i="15"/>
  <c r="C9" i="9"/>
  <c r="C16" i="9" s="1"/>
  <c r="H5" i="15"/>
  <c r="F16" i="28" l="1"/>
  <c r="E16" i="28"/>
  <c r="D16" i="28"/>
  <c r="C10" i="9"/>
  <c r="C13" i="9"/>
  <c r="C3" i="12"/>
  <c r="C31" i="9"/>
  <c r="C27" i="9"/>
  <c r="B8" i="12"/>
  <c r="B11" i="12" s="1"/>
  <c r="H35" i="28"/>
  <c r="C5" i="12"/>
  <c r="D5" i="12" s="1"/>
  <c r="C4" i="12"/>
  <c r="D4" i="12" l="1"/>
  <c r="C7" i="12"/>
  <c r="B21" i="12"/>
  <c r="D21" i="12" s="1"/>
  <c r="E20" i="9" s="1"/>
  <c r="B17" i="12"/>
  <c r="D17" i="12" s="1"/>
  <c r="B18" i="12"/>
  <c r="D18" i="12" s="1"/>
  <c r="B16" i="12"/>
  <c r="D16" i="12" s="1"/>
  <c r="C17" i="9" s="1"/>
  <c r="C20" i="9"/>
  <c r="D17" i="28"/>
  <c r="G17" i="28"/>
  <c r="F17" i="28"/>
  <c r="C32" i="9"/>
  <c r="D17" i="9"/>
  <c r="C11" i="9"/>
  <c r="C2" i="12"/>
  <c r="C6" i="12" s="1"/>
  <c r="D7" i="12"/>
  <c r="G28" i="9"/>
  <c r="B24" i="12"/>
  <c r="D24" i="12" s="1"/>
  <c r="B20" i="12"/>
  <c r="D20" i="12" s="1"/>
  <c r="B25" i="12"/>
  <c r="B19" i="12"/>
  <c r="D19" i="12" s="1"/>
  <c r="B22" i="12"/>
  <c r="B23" i="12"/>
  <c r="D23" i="12" s="1"/>
  <c r="C28" i="9"/>
  <c r="E28" i="9"/>
  <c r="C20" i="28" l="1"/>
  <c r="G20" i="9"/>
  <c r="E17" i="9"/>
  <c r="C17" i="28"/>
  <c r="G18" i="9"/>
  <c r="G18" i="28"/>
  <c r="C18" i="9"/>
  <c r="F18" i="28"/>
  <c r="C18" i="28"/>
  <c r="G20" i="28"/>
  <c r="G17" i="9"/>
  <c r="G19" i="28"/>
  <c r="F19" i="28"/>
  <c r="G19" i="9"/>
  <c r="C19" i="28"/>
  <c r="C19" i="9"/>
  <c r="F20" i="28"/>
  <c r="E17" i="28"/>
  <c r="E19" i="9"/>
  <c r="D19" i="28"/>
  <c r="E19" i="28"/>
  <c r="D19" i="9"/>
  <c r="E18" i="28"/>
  <c r="D18" i="28"/>
  <c r="E18" i="9"/>
  <c r="D18" i="9"/>
  <c r="D20" i="9"/>
  <c r="D20" i="28"/>
  <c r="E20" i="28"/>
  <c r="D22" i="28"/>
  <c r="C22" i="28"/>
  <c r="C22" i="9"/>
  <c r="D23" i="28"/>
  <c r="C23" i="28"/>
  <c r="C23" i="9"/>
  <c r="G22" i="28"/>
  <c r="E22" i="28"/>
  <c r="F22" i="28"/>
  <c r="G23" i="28"/>
  <c r="E23" i="28"/>
  <c r="F23" i="28"/>
  <c r="D22" i="9"/>
  <c r="G22" i="9"/>
  <c r="E22" i="9"/>
  <c r="D23" i="9"/>
  <c r="G23" i="9"/>
  <c r="E23" i="9"/>
  <c r="C8" i="12"/>
  <c r="D8" i="12" s="1"/>
  <c r="D6" i="12"/>
  <c r="H17" i="28" l="1"/>
  <c r="H20" i="28"/>
  <c r="H18" i="28"/>
  <c r="H19" i="28"/>
  <c r="D12" i="28"/>
  <c r="C12" i="28"/>
  <c r="C12" i="9"/>
  <c r="H16" i="28"/>
  <c r="G12" i="28"/>
  <c r="F12" i="28"/>
  <c r="E12" i="28"/>
  <c r="H23" i="28"/>
  <c r="H22" i="28"/>
  <c r="D12" i="9"/>
  <c r="G12" i="9"/>
  <c r="E12" i="9"/>
  <c r="C11" i="12"/>
  <c r="D11" i="12" l="1"/>
  <c r="E14" i="28" s="1"/>
  <c r="E19" i="20"/>
  <c r="H12" i="28"/>
  <c r="F14" i="28" l="1"/>
  <c r="D14" i="9"/>
  <c r="E14" i="9"/>
  <c r="G14" i="9"/>
  <c r="G14" i="28"/>
  <c r="D14" i="28"/>
  <c r="C14" i="28"/>
  <c r="C14" i="9"/>
  <c r="C12" i="12"/>
  <c r="C13" i="12"/>
  <c r="H14" i="28" l="1"/>
  <c r="E17" i="20" s="1"/>
  <c r="C14" i="12"/>
  <c r="C22" i="12" l="1"/>
  <c r="C15" i="28"/>
  <c r="C15" i="9"/>
  <c r="C21" i="9" s="1"/>
  <c r="D15" i="28"/>
  <c r="D21" i="28" s="1"/>
  <c r="D24" i="28" s="1"/>
  <c r="D25" i="28" s="1"/>
  <c r="D26" i="28" s="1"/>
  <c r="D15" i="9"/>
  <c r="D21" i="9" s="1"/>
  <c r="D24" i="9" s="1"/>
  <c r="D25" i="9" s="1"/>
  <c r="G15" i="28"/>
  <c r="G21" i="28" s="1"/>
  <c r="G24" i="28" s="1"/>
  <c r="G25" i="28" s="1"/>
  <c r="F15" i="28"/>
  <c r="F21" i="28" s="1"/>
  <c r="F24" i="28" s="1"/>
  <c r="F25" i="28" s="1"/>
  <c r="E15" i="28"/>
  <c r="E21" i="28" s="1"/>
  <c r="E24" i="28" s="1"/>
  <c r="E25" i="28" s="1"/>
  <c r="G15" i="9"/>
  <c r="G21" i="9" s="1"/>
  <c r="G24" i="9" s="1"/>
  <c r="G25" i="9" s="1"/>
  <c r="E15" i="9"/>
  <c r="E21" i="9" s="1"/>
  <c r="E24" i="9" s="1"/>
  <c r="E25" i="9" s="1"/>
  <c r="D14" i="12"/>
  <c r="D22" i="12" l="1"/>
  <c r="D25" i="12" s="1"/>
  <c r="C25" i="12"/>
  <c r="D29" i="28"/>
  <c r="E26" i="28"/>
  <c r="E29" i="28"/>
  <c r="H15" i="28"/>
  <c r="E18" i="20" s="1"/>
  <c r="C21" i="28"/>
  <c r="G26" i="28"/>
  <c r="G29" i="28"/>
  <c r="F26" i="28"/>
  <c r="F29" i="28"/>
  <c r="E26" i="9"/>
  <c r="G26" i="9"/>
  <c r="D26" i="9"/>
  <c r="C24" i="9"/>
  <c r="C25" i="9" s="1"/>
  <c r="D37" i="28" l="1"/>
  <c r="D39" i="28" s="1"/>
  <c r="D30" i="28"/>
  <c r="F37" i="28"/>
  <c r="F30" i="28"/>
  <c r="E37" i="28"/>
  <c r="E30" i="28"/>
  <c r="H21" i="28"/>
  <c r="C24" i="28"/>
  <c r="G37" i="28"/>
  <c r="G30" i="28"/>
  <c r="D38" i="28" l="1"/>
  <c r="H24" i="28"/>
  <c r="E24" i="20" s="1"/>
  <c r="C25" i="28"/>
  <c r="E39" i="28"/>
  <c r="E38" i="28"/>
  <c r="F39" i="28"/>
  <c r="F38" i="28"/>
  <c r="G38" i="28"/>
  <c r="G39" i="28"/>
  <c r="C26" i="9"/>
  <c r="C29" i="28" l="1"/>
  <c r="H25" i="28"/>
  <c r="E20" i="20" s="1"/>
  <c r="C26" i="28"/>
  <c r="H26" i="28" s="1"/>
  <c r="F16" i="20" l="1"/>
  <c r="F19" i="20"/>
  <c r="F17" i="20"/>
  <c r="F18" i="20"/>
  <c r="C37" i="28"/>
  <c r="C30" i="28"/>
  <c r="H30" i="28" s="1"/>
  <c r="E22" i="20" s="1"/>
  <c r="H29" i="28"/>
  <c r="E25" i="20" s="1"/>
  <c r="E10" i="15"/>
  <c r="G10" i="15" s="1"/>
  <c r="F9" i="9"/>
  <c r="F16" i="9" s="1"/>
  <c r="F17" i="9" l="1"/>
  <c r="H17" i="9" s="1"/>
  <c r="H16" i="9"/>
  <c r="F15" i="9"/>
  <c r="H15" i="9" s="1"/>
  <c r="C38" i="28"/>
  <c r="H38" i="28" s="1"/>
  <c r="C39" i="28"/>
  <c r="H39" i="28" s="1"/>
  <c r="F12" i="9"/>
  <c r="H12" i="9" s="1"/>
  <c r="F27" i="9"/>
  <c r="F28" i="9" s="1"/>
  <c r="H28" i="9" s="1"/>
  <c r="F31" i="9"/>
  <c r="F32" i="9" s="1"/>
  <c r="F23" i="9"/>
  <c r="H23" i="9" s="1"/>
  <c r="F19" i="9"/>
  <c r="H19" i="9" s="1"/>
  <c r="F11" i="9"/>
  <c r="F18" i="9"/>
  <c r="H18" i="9" s="1"/>
  <c r="F22" i="9"/>
  <c r="H22" i="9" s="1"/>
  <c r="F20" i="9"/>
  <c r="F13" i="9"/>
  <c r="H13" i="9" s="1"/>
  <c r="H9" i="9"/>
  <c r="B15" i="20" s="1"/>
  <c r="F14" i="9"/>
  <c r="H14" i="9" s="1"/>
  <c r="B17" i="20" s="1"/>
  <c r="B19" i="20" l="1"/>
  <c r="D40" i="28"/>
  <c r="D41" i="28" s="1"/>
  <c r="D42" i="28" s="1"/>
  <c r="C40" i="28"/>
  <c r="C41" i="28" s="1"/>
  <c r="C42" i="28" s="1"/>
  <c r="F40" i="28"/>
  <c r="F41" i="28" s="1"/>
  <c r="F42" i="28" s="1"/>
  <c r="E40" i="28"/>
  <c r="E41" i="28" s="1"/>
  <c r="E42" i="28" s="1"/>
  <c r="G40" i="28"/>
  <c r="G41" i="28" s="1"/>
  <c r="G42" i="28" s="1"/>
  <c r="H31" i="9"/>
  <c r="H10" i="9"/>
  <c r="B16" i="20" s="1"/>
  <c r="F21" i="9"/>
  <c r="H21" i="9" s="1"/>
  <c r="H20" i="9"/>
  <c r="B18" i="20" s="1"/>
  <c r="H27" i="9"/>
  <c r="H35" i="9"/>
  <c r="E29" i="9" s="1"/>
  <c r="H33" i="9"/>
  <c r="H34" i="9" s="1"/>
  <c r="H32" i="9"/>
  <c r="D43" i="28" l="1"/>
  <c r="D44" i="28"/>
  <c r="E43" i="28"/>
  <c r="E44" i="28"/>
  <c r="F43" i="28"/>
  <c r="F44" i="28"/>
  <c r="C43" i="28"/>
  <c r="C44" i="28"/>
  <c r="G43" i="28"/>
  <c r="G44" i="28"/>
  <c r="H11" i="9"/>
  <c r="B23" i="20" s="1"/>
  <c r="G29" i="9"/>
  <c r="G30" i="9" s="1"/>
  <c r="C29" i="9"/>
  <c r="D29" i="9"/>
  <c r="D30" i="9" s="1"/>
  <c r="F24" i="9"/>
  <c r="H24" i="9" s="1"/>
  <c r="B24" i="20" s="1"/>
  <c r="H36" i="9"/>
  <c r="H40" i="9" s="1"/>
  <c r="H41" i="9" s="1"/>
  <c r="E37" i="9"/>
  <c r="E30" i="9"/>
  <c r="C30" i="9" l="1"/>
  <c r="D46" i="28"/>
  <c r="D45" i="28"/>
  <c r="H43" i="28"/>
  <c r="C51" i="28" s="1"/>
  <c r="D26" i="20" s="1"/>
  <c r="F46" i="28"/>
  <c r="F45" i="28"/>
  <c r="G46" i="28"/>
  <c r="G45" i="28"/>
  <c r="C46" i="28"/>
  <c r="C45" i="28"/>
  <c r="E46" i="28"/>
  <c r="E45" i="28"/>
  <c r="G37" i="9"/>
  <c r="G39" i="9" s="1"/>
  <c r="C37" i="9"/>
  <c r="C38" i="9" s="1"/>
  <c r="D37" i="9"/>
  <c r="D39" i="9" s="1"/>
  <c r="F25" i="9"/>
  <c r="F26" i="9" s="1"/>
  <c r="H26" i="9" s="1"/>
  <c r="E39" i="9"/>
  <c r="E38" i="9"/>
  <c r="E26" i="20" l="1"/>
  <c r="H42" i="28"/>
  <c r="H45" i="28"/>
  <c r="H46" i="28"/>
  <c r="G38" i="9"/>
  <c r="C39" i="9"/>
  <c r="F29" i="9"/>
  <c r="F30" i="9" s="1"/>
  <c r="H30" i="9" s="1"/>
  <c r="B22" i="20" s="1"/>
  <c r="D38" i="9"/>
  <c r="H25" i="9"/>
  <c r="B20" i="20" s="1"/>
  <c r="H47" i="28" l="1"/>
  <c r="F47" i="28" s="1"/>
  <c r="F48" i="28" s="1"/>
  <c r="F37" i="9"/>
  <c r="F38" i="9" s="1"/>
  <c r="H38" i="9" s="1"/>
  <c r="H29" i="9"/>
  <c r="B25" i="20" s="1"/>
  <c r="C18" i="20"/>
  <c r="C19" i="20"/>
  <c r="C17" i="20"/>
  <c r="C16" i="20"/>
  <c r="F49" i="28" l="1"/>
  <c r="F50" i="28" s="1"/>
  <c r="D47" i="28"/>
  <c r="D48" i="28" s="1"/>
  <c r="C47" i="28"/>
  <c r="C48" i="28" s="1"/>
  <c r="C49" i="28" s="1"/>
  <c r="G47" i="28"/>
  <c r="G48" i="28" s="1"/>
  <c r="E47" i="28"/>
  <c r="E48" i="28" s="1"/>
  <c r="F39" i="9"/>
  <c r="H39" i="9" s="1"/>
  <c r="C40" i="9" s="1"/>
  <c r="C41" i="9" s="1"/>
  <c r="C42" i="9" s="1"/>
  <c r="G49" i="28" l="1"/>
  <c r="G50" i="28" s="1"/>
  <c r="E49" i="28"/>
  <c r="E50" i="28" s="1"/>
  <c r="C50" i="28"/>
  <c r="D49" i="28"/>
  <c r="D50" i="28" s="1"/>
  <c r="H48" i="28"/>
  <c r="D40" i="9"/>
  <c r="D41" i="9" s="1"/>
  <c r="D42" i="9" s="1"/>
  <c r="D43" i="9" s="1"/>
  <c r="E40" i="9"/>
  <c r="E41" i="9" s="1"/>
  <c r="E42" i="9" s="1"/>
  <c r="E44" i="9" s="1"/>
  <c r="F40" i="9"/>
  <c r="F41" i="9" s="1"/>
  <c r="F42" i="9" s="1"/>
  <c r="F44" i="9" s="1"/>
  <c r="G40" i="9"/>
  <c r="G41" i="9" s="1"/>
  <c r="G42" i="9" s="1"/>
  <c r="G44" i="9" s="1"/>
  <c r="C43" i="9"/>
  <c r="C44" i="9"/>
  <c r="H50" i="28" l="1"/>
  <c r="H49" i="28" s="1"/>
  <c r="D44" i="9"/>
  <c r="D45" i="9" s="1"/>
  <c r="E43" i="9"/>
  <c r="F43" i="9"/>
  <c r="G43" i="9"/>
  <c r="C45" i="9"/>
  <c r="C46" i="9"/>
  <c r="F45" i="9"/>
  <c r="F46" i="9"/>
  <c r="E45" i="9"/>
  <c r="E46" i="9"/>
  <c r="G45" i="9"/>
  <c r="G46" i="9"/>
  <c r="D46" i="9" l="1"/>
  <c r="H46" i="9" s="1"/>
  <c r="H43" i="9"/>
  <c r="C51" i="9" s="1"/>
  <c r="H45" i="9"/>
  <c r="A26" i="20" l="1"/>
  <c r="B26" i="20"/>
  <c r="H42" i="9"/>
  <c r="H47" i="9"/>
  <c r="G47" i="9" l="1"/>
  <c r="G48" i="9" s="1"/>
  <c r="G49" i="9" s="1"/>
  <c r="G50" i="9" s="1"/>
  <c r="F47" i="9"/>
  <c r="F48" i="9" s="1"/>
  <c r="F49" i="9" s="1"/>
  <c r="F50" i="9" s="1"/>
  <c r="C47" i="9"/>
  <c r="C48" i="9" s="1"/>
  <c r="C49" i="9" s="1"/>
  <c r="D47" i="9"/>
  <c r="D48" i="9" s="1"/>
  <c r="D49" i="9" s="1"/>
  <c r="D50" i="9" s="1"/>
  <c r="E47" i="9"/>
  <c r="E48" i="9" s="1"/>
  <c r="E49" i="9" l="1"/>
  <c r="E50" i="9" s="1"/>
  <c r="H48" i="9"/>
  <c r="C50" i="9"/>
  <c r="H50" i="9" l="1"/>
  <c r="H4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ipetaisto</author>
    <author>O'Leary, Daniel P -FS</author>
  </authors>
  <commentList>
    <comment ref="I3" authorId="0" shapeId="0" xr:uid="{C780A49A-F595-41C9-B040-599E803C80E4}">
      <text>
        <r>
          <rPr>
            <b/>
            <sz val="8"/>
            <color indexed="81"/>
            <rFont val="Tahoma"/>
            <family val="2"/>
          </rPr>
          <t>Examples:</t>
        </r>
        <r>
          <rPr>
            <sz val="8"/>
            <color indexed="81"/>
            <rFont val="Tahoma"/>
            <family val="2"/>
          </rPr>
          <t xml:space="preserve">
On-site Precruise plots; adjacent timber sale name; 
on-site stand exams; 
adjacent stand exam</t>
        </r>
      </text>
    </comment>
    <comment ref="E5" authorId="0" shapeId="0" xr:uid="{00000000-0006-0000-0100-000002000000}">
      <text>
        <r>
          <rPr>
            <sz val="8"/>
            <color indexed="81"/>
            <rFont val="Tahoma"/>
            <family val="2"/>
          </rPr>
          <t xml:space="preserve">Based on Total OG NET Sawlog removed mbf.  If using adjacent timber sale for comparison, R001 or R009 provides  net sawlog removed volumes by species  (OG &amp; YG separately).  </t>
        </r>
      </text>
    </comment>
    <comment ref="A8" authorId="1" shapeId="0" xr:uid="{00000000-0006-0000-0100-000003000000}">
      <text>
        <r>
          <rPr>
            <sz val="8"/>
            <color indexed="81"/>
            <rFont val="Tahoma"/>
            <family val="2"/>
          </rPr>
          <t>Select from drop list</t>
        </r>
      </text>
    </comment>
    <comment ref="B8" authorId="0" shapeId="0" xr:uid="{00000000-0006-0000-0100-000004000000}">
      <text>
        <r>
          <rPr>
            <sz val="8"/>
            <color indexed="81"/>
            <rFont val="Tahoma"/>
            <family val="2"/>
          </rPr>
          <t>Acre inputs need to be consistent (always use same number of decimal places)</t>
        </r>
      </text>
    </comment>
    <comment ref="C8" authorId="0" shapeId="0" xr:uid="{00000000-0006-0000-0100-000005000000}">
      <text>
        <r>
          <rPr>
            <sz val="8"/>
            <color indexed="81"/>
            <rFont val="Tahoma"/>
            <family val="2"/>
          </rPr>
          <t xml:space="preserve">Needs to be NMBF saw removed (without utility) per acre and "OG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ipetaisto</author>
    <author>USDA Forest Service</author>
    <author>O'Leary, Daniel P -FS</author>
  </authors>
  <commentList>
    <comment ref="I3" authorId="0" shapeId="0" xr:uid="{9F7F7CDC-6EED-4006-9EA3-E5ED76B9A07B}">
      <text>
        <r>
          <rPr>
            <b/>
            <sz val="8"/>
            <color indexed="81"/>
            <rFont val="Tahoma"/>
            <family val="2"/>
          </rPr>
          <t>Examples:</t>
        </r>
        <r>
          <rPr>
            <sz val="8"/>
            <color indexed="81"/>
            <rFont val="Tahoma"/>
            <family val="2"/>
          </rPr>
          <t xml:space="preserve">
On-site Precruise plots; adjacent timber sale name; 
on-site stand exams; 
adjacent stand exam</t>
        </r>
      </text>
    </comment>
    <comment ref="C5" authorId="1" shapeId="0" xr:uid="{00000000-0006-0000-0200-000002000000}">
      <text>
        <r>
          <rPr>
            <b/>
            <sz val="9"/>
            <color indexed="81"/>
            <rFont val="Tahoma"/>
            <family val="2"/>
          </rPr>
          <t>USDA Forest Service:</t>
        </r>
        <r>
          <rPr>
            <sz val="9"/>
            <color indexed="81"/>
            <rFont val="Tahoma"/>
            <family val="2"/>
          </rPr>
          <t xml:space="preserve">
use same DIB for YG &amp; OG </t>
        </r>
      </text>
    </comment>
    <comment ref="E5" authorId="0" shapeId="0" xr:uid="{76365C1A-F3ED-492A-A55E-1E6B2EBAFB3C}">
      <text>
        <r>
          <rPr>
            <sz val="8"/>
            <color indexed="81"/>
            <rFont val="Tahoma"/>
            <family val="2"/>
          </rPr>
          <t xml:space="preserve">Based on Total YG NET Sawlog removed mbf.  If using adjacent timber sale for comparison, R001 or R009 provides  net sawlog removed volumes by species  (OG &amp; YG separately).  </t>
        </r>
      </text>
    </comment>
    <comment ref="A8" authorId="2" shapeId="0" xr:uid="{00000000-0006-0000-0200-000004000000}">
      <text>
        <r>
          <rPr>
            <sz val="8"/>
            <color indexed="81"/>
            <rFont val="Tahoma"/>
            <family val="2"/>
          </rPr>
          <t>select from drop list</t>
        </r>
      </text>
    </comment>
    <comment ref="B8" authorId="0" shapeId="0" xr:uid="{00000000-0006-0000-0200-000005000000}">
      <text>
        <r>
          <rPr>
            <sz val="8"/>
            <color indexed="81"/>
            <rFont val="Tahoma"/>
            <family val="2"/>
          </rPr>
          <t>Acre inputs need to be consistent (always use same number of decimal places)</t>
        </r>
      </text>
    </comment>
    <comment ref="C8" authorId="0" shapeId="0" xr:uid="{00000000-0006-0000-0200-000006000000}">
      <text>
        <r>
          <rPr>
            <sz val="8"/>
            <color indexed="81"/>
            <rFont val="Tahoma"/>
            <family val="2"/>
          </rPr>
          <t xml:space="preserve">Needs to be NMBF saw removed (without utility) per acre and "YG only".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DPOLEARY</author>
    <author>Petaisto, Inga -FS</author>
  </authors>
  <commentList>
    <comment ref="E28" authorId="0" shapeId="0" xr:uid="{00000000-0006-0000-0300-000001000000}">
      <text>
        <r>
          <rPr>
            <b/>
            <sz val="9"/>
            <color indexed="81"/>
            <rFont val="Tahoma"/>
            <family val="2"/>
          </rPr>
          <t>USFS:</t>
        </r>
        <r>
          <rPr>
            <sz val="9"/>
            <color indexed="81"/>
            <rFont val="Tahoma"/>
            <family val="2"/>
          </rPr>
          <t xml:space="preserve">
Calculates Total Gross conventional needed for mobilization component of shovel and cable yarding formulas</t>
        </r>
      </text>
    </comment>
    <comment ref="C50" authorId="1" shapeId="0" xr:uid="{00000000-0006-0000-0300-000002000000}">
      <text>
        <r>
          <rPr>
            <sz val="9"/>
            <color indexed="81"/>
            <rFont val="Tahoma"/>
            <family val="2"/>
          </rPr>
          <t xml:space="preserve"> OGSS&lt;18 DIB/ total OGSS  (based on NMBF).  A common source for volumes by diameter class is Cruise Report R009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ipetaisto</author>
    <author>Inga Petaisto</author>
    <author>Petaisto</author>
  </authors>
  <commentList>
    <comment ref="A1" authorId="0" shapeId="0" xr:uid="{00000000-0006-0000-0400-000001000000}">
      <text>
        <r>
          <rPr>
            <sz val="8"/>
            <color indexed="81"/>
            <rFont val="Tahoma"/>
            <family val="2"/>
          </rPr>
          <t xml:space="preserve">Do not enter YG heli units </t>
        </r>
      </text>
    </comment>
    <comment ref="B1" authorId="1" shapeId="0" xr:uid="{00000000-0006-0000-0400-000002000000}">
      <text>
        <r>
          <rPr>
            <sz val="9"/>
            <color indexed="81"/>
            <rFont val="Tahoma"/>
            <family val="2"/>
          </rPr>
          <t>If setting BA &lt;66%, enter 0</t>
        </r>
      </text>
    </comment>
    <comment ref="K2" authorId="2" shapeId="0" xr:uid="{00000000-0006-0000-0400-000003000000}">
      <text>
        <r>
          <rPr>
            <b/>
            <sz val="8"/>
            <color indexed="81"/>
            <rFont val="Tahoma"/>
            <family val="2"/>
          </rPr>
          <t>Petaisto:</t>
        </r>
        <r>
          <rPr>
            <sz val="8"/>
            <color indexed="81"/>
            <rFont val="Tahoma"/>
            <family val="2"/>
          </rPr>
          <t xml:space="preserve">
BY04 cost collection formula</t>
        </r>
      </text>
    </comment>
    <comment ref="K3" authorId="2" shapeId="0" xr:uid="{00000000-0006-0000-0400-000004000000}">
      <text>
        <r>
          <rPr>
            <b/>
            <sz val="8"/>
            <color indexed="81"/>
            <rFont val="Tahoma"/>
            <family val="2"/>
          </rPr>
          <t>Petaisto:</t>
        </r>
        <r>
          <rPr>
            <sz val="8"/>
            <color indexed="81"/>
            <rFont val="Tahoma"/>
            <family val="2"/>
          </rPr>
          <t xml:space="preserve">
BY05 cost collection formula</t>
        </r>
      </text>
    </comment>
    <comment ref="K4" authorId="2" shapeId="0" xr:uid="{00000000-0006-0000-0400-000005000000}">
      <text>
        <r>
          <rPr>
            <b/>
            <sz val="8"/>
            <color indexed="81"/>
            <rFont val="Tahoma"/>
            <family val="2"/>
          </rPr>
          <t>Petaisto:</t>
        </r>
        <r>
          <rPr>
            <sz val="8"/>
            <color indexed="81"/>
            <rFont val="Tahoma"/>
            <family val="2"/>
          </rPr>
          <t xml:space="preserve">
BY06 cost collection formula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Inga Petaisto</author>
  </authors>
  <commentList>
    <comment ref="A11" authorId="0" shapeId="0" xr:uid="{00000000-0006-0000-0800-000001000000}">
      <text>
        <r>
          <rPr>
            <sz val="9"/>
            <color indexed="81"/>
            <rFont val="Tahoma"/>
            <family val="2"/>
          </rPr>
          <t>includes equipment mobe</t>
        </r>
      </text>
    </comment>
  </commentList>
</comments>
</file>

<file path=xl/sharedStrings.xml><?xml version="1.0" encoding="utf-8"?>
<sst xmlns="http://schemas.openxmlformats.org/spreadsheetml/2006/main" count="912" uniqueCount="631">
  <si>
    <t>all</t>
  </si>
  <si>
    <t>Total</t>
  </si>
  <si>
    <t>species code</t>
  </si>
  <si>
    <t>Timber Property Value</t>
  </si>
  <si>
    <t>Minimum Total</t>
  </si>
  <si>
    <t>Total deficit</t>
  </si>
  <si>
    <t>Base Rates</t>
  </si>
  <si>
    <t>Base Rate total</t>
  </si>
  <si>
    <t>Total surplus</t>
  </si>
  <si>
    <t>Advertised Total</t>
  </si>
  <si>
    <t>Haul</t>
  </si>
  <si>
    <t>Pre-haul Road Maintenance</t>
  </si>
  <si>
    <t>Specified Road Reconstruction</t>
  </si>
  <si>
    <t>Specified Road Construction &amp; Dev</t>
  </si>
  <si>
    <t>Manufacturing Costs</t>
  </si>
  <si>
    <t>Total Production Costs</t>
  </si>
  <si>
    <t>Conversion</t>
  </si>
  <si>
    <t>Indicated Advertised Rates</t>
  </si>
  <si>
    <t>species name</t>
  </si>
  <si>
    <t>Removal Requirement</t>
  </si>
  <si>
    <t>required</t>
  </si>
  <si>
    <t>042</t>
  </si>
  <si>
    <t>098</t>
  </si>
  <si>
    <t>Minimum Rates</t>
  </si>
  <si>
    <t>Essential Regeneration</t>
  </si>
  <si>
    <t>Essential Regeneration + NFF</t>
  </si>
  <si>
    <t>Increase needed to minimum rates</t>
  </si>
  <si>
    <t>above/below minimum rates/MBF</t>
  </si>
  <si>
    <t>above/below base rates/MBF</t>
  </si>
  <si>
    <t>Adjustment to base rates total</t>
  </si>
  <si>
    <t>Adjustment to base rates</t>
  </si>
  <si>
    <t>no</t>
  </si>
  <si>
    <t>Calculated or Adjusted Slope Distance</t>
  </si>
  <si>
    <t>Cost adjusted for slope &amp; Rx</t>
  </si>
  <si>
    <t>Cost adjusted for slope, Rx &amp; uphill</t>
  </si>
  <si>
    <t>Minimum Horizontal Distance Needed</t>
  </si>
  <si>
    <t>MBF net</t>
  </si>
  <si>
    <t>Total Cost</t>
  </si>
  <si>
    <t>242</t>
  </si>
  <si>
    <t>263</t>
  </si>
  <si>
    <t>Prehaul Maint Cost Total</t>
  </si>
  <si>
    <t>Essential KV Total</t>
  </si>
  <si>
    <t>Appraisal Point</t>
  </si>
  <si>
    <t>Stump to Mill</t>
  </si>
  <si>
    <t>Temporary road and other development</t>
  </si>
  <si>
    <t>Appraisal Group Species Code</t>
  </si>
  <si>
    <t>Adjusted surplus</t>
  </si>
  <si>
    <t>Adjustment to Advertised Rates</t>
  </si>
  <si>
    <t>Advertised Rates</t>
  </si>
  <si>
    <t>Total Harvest Acres incl ROW</t>
  </si>
  <si>
    <t>Log Sort</t>
  </si>
  <si>
    <t xml:space="preserve"> </t>
  </si>
  <si>
    <t>Effective P&amp;R %</t>
  </si>
  <si>
    <t>Effective P&amp;R Margin</t>
  </si>
  <si>
    <t>District Name</t>
  </si>
  <si>
    <t>Forest #</t>
  </si>
  <si>
    <t>District #</t>
  </si>
  <si>
    <t>Avg</t>
  </si>
  <si>
    <t>Input Line Item #</t>
  </si>
  <si>
    <t>calculated</t>
  </si>
  <si>
    <t>Minimum Tree DBH Utilization Standard</t>
  </si>
  <si>
    <t>Estimated Round Trip Haul Hours (weighted average)</t>
  </si>
  <si>
    <t>Other Logging Cost and Unusual Adjustments Total Amount</t>
  </si>
  <si>
    <t>Logging Camp</t>
  </si>
  <si>
    <t>Other Logging Costs &amp; Unusual Adjustments</t>
  </si>
  <si>
    <t>species</t>
  </si>
  <si>
    <t>Sale MBF net</t>
  </si>
  <si>
    <t>L48 MBF net</t>
  </si>
  <si>
    <t>L48 SV fobAK mill</t>
  </si>
  <si>
    <t>Sale SV</t>
  </si>
  <si>
    <t>Pond Log Value</t>
  </si>
  <si>
    <t>L48 mfg</t>
  </si>
  <si>
    <t>Sale mfg cost</t>
  </si>
  <si>
    <t>WRC ship to L48     yes/no</t>
  </si>
  <si>
    <t>BY05 = IF(B2&gt;65,((0.0276*G2)+278.63)*((0.0085*B2)+0.4552),((0.0276*G2)+278.63))*D2</t>
  </si>
  <si>
    <t>BY04 = IF(B3&gt;65,((0.0364*G3)+290.55)*((0.0085*B3)+0.4552),((0.0364*G3)+290.55))*D3</t>
  </si>
  <si>
    <t>BY06 = IF(B2&gt;65,((0.0313*G2)+275.99)*((0.0085*B2)+0.4552),((0.0313*G2)+275.99))*D2</t>
  </si>
  <si>
    <t>NMBF_Rmvd</t>
  </si>
  <si>
    <t>Acres of Spec Road ROW associated with TPV</t>
  </si>
  <si>
    <t>Calculated Timber Property Value</t>
  </si>
  <si>
    <t>BY07 = IF(B2&gt;65,((0.0221*G2)+321.09)*((0.0085*B2)+0.4552),((0.0221*G2)+321.09))*D2</t>
  </si>
  <si>
    <t>Total Saw NMBF</t>
  </si>
  <si>
    <t>Species name</t>
  </si>
  <si>
    <t>Total Saw</t>
  </si>
  <si>
    <t>HEM</t>
  </si>
  <si>
    <t>AYC</t>
  </si>
  <si>
    <t>WRC</t>
  </si>
  <si>
    <t xml:space="preserve">P&amp;R % Sawn sales </t>
  </si>
  <si>
    <t>P&amp;R % Log sales</t>
  </si>
  <si>
    <t>No heli cost collection for BY08</t>
  </si>
  <si>
    <t>VDR Domestic</t>
  </si>
  <si>
    <t>Dom Mfg CDR</t>
  </si>
  <si>
    <t>Total Dom Mfg</t>
  </si>
  <si>
    <t>VDR Export</t>
  </si>
  <si>
    <t>Total Export SV</t>
  </si>
  <si>
    <t>Export Mfg CDR</t>
  </si>
  <si>
    <t>Total Export MFG</t>
  </si>
  <si>
    <t>NMBF Export</t>
  </si>
  <si>
    <t>Total Dom SV</t>
  </si>
  <si>
    <t>Check if YG Log Sys % inputs  = 100%</t>
  </si>
  <si>
    <t>Check if OG Log Sys % inputs  = 100%</t>
  </si>
  <si>
    <t>YG Cable stump-to-truck  (includes F&amp;B)</t>
  </si>
  <si>
    <t>YG Ground-based stump-to-truck  (includes F&amp;B)</t>
  </si>
  <si>
    <t>ALL OG &amp; YG Stump to Truck</t>
  </si>
  <si>
    <t>OG Haul</t>
  </si>
  <si>
    <t>YG Haul</t>
  </si>
  <si>
    <t>OG &amp; YG Haul</t>
  </si>
  <si>
    <t>Conventional F&amp;B &amp; Yard</t>
  </si>
  <si>
    <t>All Stump to Truck</t>
  </si>
  <si>
    <t>SS YG</t>
  </si>
  <si>
    <t>BY09 = IF(B2&gt;65,((0.0646*G2)+211.33)*((0.0085*B2)+0.4552),((0.0646*G2)+211.33))*D2</t>
  </si>
  <si>
    <t>Analyst</t>
  </si>
  <si>
    <t>TOTALS</t>
  </si>
  <si>
    <t>shov CC acres</t>
  </si>
  <si>
    <t>heli acres</t>
  </si>
  <si>
    <t>check</t>
  </si>
  <si>
    <t>NEPA Alternative</t>
  </si>
  <si>
    <r>
      <rPr>
        <b/>
        <sz val="10"/>
        <rFont val="MS Sans Serif"/>
        <family val="2"/>
      </rPr>
      <t>Date</t>
    </r>
    <r>
      <rPr>
        <b/>
        <sz val="8.5"/>
        <rFont val="MS Sans Serif"/>
        <family val="2"/>
      </rPr>
      <t xml:space="preserve"> </t>
    </r>
    <r>
      <rPr>
        <sz val="8.5"/>
        <rFont val="MS Sans Serif"/>
        <family val="2"/>
      </rPr>
      <t>mm/dd/yy</t>
    </r>
  </si>
  <si>
    <t>% short cable cc</t>
  </si>
  <si>
    <t>% shov cc</t>
  </si>
  <si>
    <t>% shov pc</t>
  </si>
  <si>
    <t>Hem NMBF</t>
  </si>
  <si>
    <t>SS NMBF</t>
  </si>
  <si>
    <t>AYC NMBF</t>
  </si>
  <si>
    <t>WRC NMBF</t>
  </si>
  <si>
    <t>Retrieved from OG &amp; YG Tabs</t>
  </si>
  <si>
    <t>% heli</t>
  </si>
  <si>
    <t>Retrieved from YG Tab</t>
  </si>
  <si>
    <t>Retrieved from OG Tab</t>
  </si>
  <si>
    <t>R10 Logging Cost Calculator</t>
  </si>
  <si>
    <t>Engineer Estimate</t>
  </si>
  <si>
    <t>Total Sawlog  NMBF</t>
  </si>
  <si>
    <t>Total Specified Road Cost</t>
  </si>
  <si>
    <t>Sale Preparation</t>
  </si>
  <si>
    <t>Sale Administration</t>
  </si>
  <si>
    <t>Cost/ MBF</t>
  </si>
  <si>
    <t>GB CC acres</t>
  </si>
  <si>
    <t>GB PC acres</t>
  </si>
  <si>
    <t>Hem YG</t>
  </si>
  <si>
    <t>n/a</t>
  </si>
  <si>
    <t>Total Indicated Advertised Value</t>
  </si>
  <si>
    <t xml:space="preserve">Volume estimates are based on:  </t>
  </si>
  <si>
    <t>data input</t>
  </si>
  <si>
    <t>Total Fell, Yard, &amp; Load Cost</t>
  </si>
  <si>
    <t>Total Transport, Temp Road, Rd Mtce, &amp; other Cost</t>
  </si>
  <si>
    <t>098Y</t>
  </si>
  <si>
    <t>Indicated Advertised Rate $ /MBF</t>
  </si>
  <si>
    <t>Weighted Avg Slope Dist</t>
  </si>
  <si>
    <t>Total Cost for Camp or lodging provided by logging company</t>
  </si>
  <si>
    <t>Sale Deficit amount</t>
  </si>
  <si>
    <t>Silviculture Estimate</t>
  </si>
  <si>
    <t>BY10 = IF(B2&gt;65,((0.068*G2)+227.53)*((0.0085*B2)+0.4552),((0.068*G2)+227.53))*D2</t>
  </si>
  <si>
    <t>Log Category</t>
  </si>
  <si>
    <t>line item</t>
  </si>
  <si>
    <t>shov cc</t>
  </si>
  <si>
    <t>heli</t>
  </si>
  <si>
    <t>ROW not fell/yard by Purchaser</t>
  </si>
  <si>
    <t>BY11 = IF(B2&gt;65,((0.0637*G2)+249.65)*((0.0085*B2)+0.4552),((0.0637*G2)+249.65))*D2</t>
  </si>
  <si>
    <t>Total Projected Tongass Timber Program Admin Costs</t>
  </si>
  <si>
    <t>AK Dom process</t>
  </si>
  <si>
    <t>Effective P&amp;R</t>
  </si>
  <si>
    <t>Other logging cost &amp; unusual adjust</t>
  </si>
  <si>
    <t>On March 28, 2011, FASTR (Financial Analysis Spreadsheet Tool- RV) was approved by the Regional Forester (USFS Region 10) for use at the initial planning phases (Gate 1 &amp; 2) on any timber sale</t>
  </si>
  <si>
    <t xml:space="preserve">project requiring either an EIS or EA. </t>
  </si>
  <si>
    <t>However, when there are "two destinations", tow cost in Cell C45 needs to be changed (to 100% hsswrc tow to sawmill) to obtain correct value for Cell C78.</t>
  </si>
  <si>
    <t xml:space="preserve">After correct values are entered in Cells C78, C79, C80; then "reset" tow cost in Cell C45 and "reset" appraised market to "allowable export".    </t>
  </si>
  <si>
    <t xml:space="preserve">March 8, 2013 -  Input needed for Job Output calculations:   </t>
  </si>
  <si>
    <t>When all volume (export and domestic) is towed to "one destination", Cell C45 does NOT need to be changed to obtain value for Cell C78.</t>
  </si>
  <si>
    <t xml:space="preserve">Table calculates total domestic and export GMBF volumes needed for tow calculator.     </t>
  </si>
  <si>
    <t>BY12 = IF(B2&gt;65,((0.0503*G2)+294.34)*((0.0085*B2)+0.4552),((0.0503*G2)+294.34))*D2</t>
  </si>
  <si>
    <t>species composition based on Net</t>
  </si>
  <si>
    <t>TBRD (OG species %) = SS 14%; Hem 25%; AYC 32%; WRC 34%.</t>
  </si>
  <si>
    <t>TNF (OG species %) = SS 13%;  Hem 29%;  AYC 46%;  WRC 43% .</t>
  </si>
  <si>
    <t>WRD (OG speceis %) = SS 10%; Hem 23%; AYC 31%; WRC 45%.</t>
  </si>
  <si>
    <t>PRD (OG species %) = SS 12%; Hem 26%; AYC 42%</t>
  </si>
  <si>
    <t>SRD (OG species %) = SS 16%; Hem 34%; AYC 54%.</t>
  </si>
  <si>
    <t>HRD (OG species %) = SS 10%; Hem 38%; AYC 47%.</t>
  </si>
  <si>
    <t>KMRD (OG species %) = SS 15%; Hem 25%; AYC 46%; WRC 45%.</t>
  </si>
  <si>
    <t>CRD (OG species %) = SS 14%; Hem 21%; AYC 42%; WRC 45%.</t>
  </si>
  <si>
    <t>YRD (OG species %) = SS 13%;  Hem 20%</t>
  </si>
  <si>
    <t xml:space="preserve">as shown in C17 &amp; E22. </t>
  </si>
  <si>
    <t>Similarly, on 'YG' tab, species % (Cells G5:H5) and GMBF/ac (Column C)  and GMBF/log (Column D) should be based on "YG only" and "GROSS" (not net) removed MBF.</t>
  </si>
  <si>
    <t xml:space="preserve"> 'Gate 2 NEPA Summary' tab separates domestic vs. export transportation jobs (Rows 42 and 43) and displays job calculation formulas (Cells F40:F43).</t>
  </si>
  <si>
    <t>SED utiliz</t>
  </si>
  <si>
    <t xml:space="preserve">After correct values are entered in Cells C78, C79, C80; then "reset" appraised market back to "allowable export".    </t>
  </si>
  <si>
    <t>August 9, 2013  -  Added ability to evaluate WRC for L48 export:</t>
  </si>
  <si>
    <t>FASTR uses "preliminary" data to provide options at Gate 1 or a relative comparison of anticipated project costs and revenues by alternative at Gate 2.</t>
  </si>
  <si>
    <t xml:space="preserve">FASTR is intended for initial planning purposes- actual timber sale salability and value is determined at Gate 4 when cruise volumes (by log grade) are finalized for the appraisal process.   </t>
  </si>
  <si>
    <t>places), then acre inputs in other columns also should be whole numbers.</t>
  </si>
  <si>
    <t>Use Tongass or District averages (below) or best available information (scaling defect averages from similar sale).</t>
  </si>
  <si>
    <t>Ability to "copy and paste" heli volume column from 'OG' tab to 'OG Heli Input Pg2'</t>
  </si>
  <si>
    <t xml:space="preserve">Added NOTES tab for documenting notes and calculating tow volumes needed for tow calculator </t>
  </si>
  <si>
    <t xml:space="preserve">January 8, 2014 -   </t>
  </si>
  <si>
    <t xml:space="preserve">August 15, 2013 -  </t>
  </si>
  <si>
    <t>Error checks for Haul GMBF and Heli NMBF.</t>
  </si>
  <si>
    <t>Clarified job calculations in 'Gate 2 NEPA Summary' tab.</t>
  </si>
  <si>
    <t xml:space="preserve">Species% on 'OG' tab should be based on "OG only" and OG GROSS (not net) removed MBF.   Species% on 'YG' tab should be based on "YG only"  and YG GROSS removed MBF. </t>
  </si>
  <si>
    <t xml:space="preserve">Revised Appraised Market Instructions to include YG domestic manufacturing </t>
  </si>
  <si>
    <t xml:space="preserve">Domestic processing should be assigned to species with highest sawn values (avg species sawn value multiplied by quarterly update factor).  </t>
  </si>
  <si>
    <t xml:space="preserve">Revised appraised market default values (for hemlock, spruce, and wrc) to  0% Foreign and 100% Alaska domestic manufacturing.   </t>
  </si>
  <si>
    <t>Contact R10 valuation for assistance in unusual cost adjustments for other changes in utilization standards.</t>
  </si>
  <si>
    <t xml:space="preserve">Added 'P&amp;R Input' tab to calculate Profit and Risk (P&amp;R) consistently for all timber projects </t>
  </si>
  <si>
    <t>On 'OG' tab, species% (Cells G5:F5) and GMBF/ac (Column C) and GMBF/log (Column D) should be based on "OG only" and "GROSS" (not net) removed MBF.</t>
  </si>
  <si>
    <t xml:space="preserve">June 20, 2014 -  </t>
  </si>
  <si>
    <t>Heli F&amp;B &amp; Yard</t>
  </si>
  <si>
    <t>Sawlog-MBF</t>
  </si>
  <si>
    <t>Total Cost (includes mobe)</t>
  </si>
  <si>
    <t>Proposed Project</t>
  </si>
  <si>
    <t>Date of Analysis</t>
  </si>
  <si>
    <t>Specified Road Construction &amp; Development</t>
  </si>
  <si>
    <t>End-product SV</t>
  </si>
  <si>
    <t>Product - Unit of Measure</t>
  </si>
  <si>
    <t>Indicated Advertised Total</t>
  </si>
  <si>
    <t>Specified Road Construction &amp; Development Cost</t>
  </si>
  <si>
    <t>Specified Road Reconstruction Cost</t>
  </si>
  <si>
    <t>P&amp;R Estimator starts with the Base Year P&amp;R at the top of the spreadsheet.  Ten P&amp;R factors determine project P&amp;R at the bottom of spreadsheet.</t>
  </si>
  <si>
    <t>BY13 = IF(B2&gt;65,((0.0491*G2)+298.13)*((0.0085*B2)+0.4552),((0.0491*G2)+298.13))*D2</t>
  </si>
  <si>
    <t>Temp road cost guide</t>
  </si>
  <si>
    <t>Dom NMBF</t>
  </si>
  <si>
    <t>OG harv acres</t>
  </si>
  <si>
    <t>OG Heli</t>
  </si>
  <si>
    <t>OG Shovel</t>
  </si>
  <si>
    <t>OG Cable</t>
  </si>
  <si>
    <t>YG Heli</t>
  </si>
  <si>
    <t xml:space="preserve">August 15, 2015 -  </t>
  </si>
  <si>
    <t xml:space="preserve">On 'YG' tab, removed entry requirement for YG gmbf/32ft log since YG stump to truck costs are calculated seperately using YG cost calculator. </t>
  </si>
  <si>
    <t>Changed volume input in Column C to  NMBF/acre removed.</t>
  </si>
  <si>
    <t>Starting point is a standard 10% profit and a standard 4% risk allowance to cover common risks and uncertainties.</t>
  </si>
  <si>
    <t>FASTR was designed to:  1)  meet the minimum requirements for Gate 2 efficiency analyses;  2) require minimum data input and training;  3) be maintained locally;  and 4) parallel the R10- RV appraisal process.</t>
  </si>
  <si>
    <t>'FASTR InputPg1' tab:</t>
  </si>
  <si>
    <t xml:space="preserve">Revised P&amp;R estimator. “Profit” is defined as the financial gain after all costs have been paid;  “risk” is the chance of incurring extra costs and losses.   </t>
  </si>
  <si>
    <t xml:space="preserve">Other risk factors include:  project remoteness, logging systems, utilization, YG domestic processing, and % hem-ss export.  </t>
  </si>
  <si>
    <t>On 'OG' tab, removed cell F6 comment listing Tongass NF and District average scaling defects. User should enter best available information.</t>
  </si>
  <si>
    <t xml:space="preserve">Since cruise data with volumes by log category may not be available in the initial planning phases, FASTR relies on 'quality adjustments' to AYC and SS OG volumes to estimate end product selling values. </t>
  </si>
  <si>
    <t>OG Quality Adjustment for AYC in Cell C75 now includes #2 and #3 log grades.   Calculation =  (AYC#2 nmbf + AYC#3 nmbf) / total AYC nmbf.</t>
  </si>
  <si>
    <t>NOTES</t>
  </si>
  <si>
    <t>BY15 = IF(B2&gt;65,((0.0303*G2)+325.73)*((0.0085*B2)+0.4552),((0.0303*G2)+325.73))*D2</t>
  </si>
  <si>
    <t>FAS AK</t>
  </si>
  <si>
    <t>nmbf</t>
  </si>
  <si>
    <t>% exp</t>
  </si>
  <si>
    <t>exp NMBF</t>
  </si>
  <si>
    <t>Retrieved from YG Tabs</t>
  </si>
  <si>
    <t>YG harv acres</t>
  </si>
  <si>
    <t>Check if heli NMBF from "OG Heli InputPg' = OG heli NMBF</t>
  </si>
  <si>
    <t>R10 Haul RTT calculator</t>
  </si>
  <si>
    <t>R10 Camp cost calculator</t>
  </si>
  <si>
    <t>OG Shovel CC (includes F&amp;B)</t>
  </si>
  <si>
    <t>sum Camp+Other+Adjustments</t>
  </si>
  <si>
    <t>Stump to Mill including roads</t>
  </si>
  <si>
    <t>acres check</t>
  </si>
  <si>
    <t>% log sys check</t>
  </si>
  <si>
    <t>263 &amp; 263Y</t>
  </si>
  <si>
    <t xml:space="preserve">March 24, 2017 -  </t>
  </si>
  <si>
    <t xml:space="preserve">No need to input piece size on 'OG' tab.   </t>
  </si>
  <si>
    <t xml:space="preserve">No need to input Gross volumes except in Volume Matrix.  Removed inputs for utility and domestic young growth since there is no established domestic market. </t>
  </si>
  <si>
    <t xml:space="preserve">Removed P&amp;R estimator since Regional Forester established 15% P&amp;R for all species and products.    </t>
  </si>
  <si>
    <t>'SV mfg by end product' and 'Logging Cost Summary' tabs:</t>
  </si>
  <si>
    <t>'FASTR Summary' tab:</t>
  </si>
  <si>
    <t>Volume Matrix calculates scaling defect by species.   Volume Matrix has only one log category for each young growth species.</t>
  </si>
  <si>
    <t>Moved value adjustment from 'Logging Cost Summary' tab to 'SV mfg by end prudct' tab.   Value adjustment is the value gained from changing 6" small end diameter to 8" or 10".</t>
  </si>
  <si>
    <t xml:space="preserve">Old growth cable and shovel yarding costs include fell and buck (simliar to young growth and heli yarding costs).  </t>
  </si>
  <si>
    <t xml:space="preserve">Removed optional (utility) column and added YG SS column ($2 minimum rate).   </t>
  </si>
  <si>
    <t>'Gate 2 NEPA Summary' tab:</t>
  </si>
  <si>
    <t xml:space="preserve">Added Footnote to 'Total Jobs Generated' to clarify that actual total jobs generated depends on volume from  "positive" value sale.  Deficit value = less volume = less jobs.  </t>
  </si>
  <si>
    <t xml:space="preserve">Corrected Footnotes to clarify current export policy allows "OG &amp; YG hem-spruce export" (equal to 50% total sale net sawlog volume) plus  100% export of ayc.    </t>
  </si>
  <si>
    <t xml:space="preserve">May 1, 2017 -  </t>
  </si>
  <si>
    <t>Corrected cell reference instructions for 100% Alaska manufacturing</t>
  </si>
  <si>
    <t xml:space="preserve">August 21, 2017 -  </t>
  </si>
  <si>
    <t>'Gate 1 Summary' and 'Gate 2 NEPA SUMMARY' tabs:</t>
  </si>
  <si>
    <t>Corrected 100% Alaska manufacturing formulas.</t>
  </si>
  <si>
    <t>Corrected Sitka Spruce Sawlog NMBF formula to include YG</t>
  </si>
  <si>
    <t xml:space="preserve">October 10, 2017 -  </t>
  </si>
  <si>
    <t>Appraisal YearQtr</t>
  </si>
  <si>
    <t>7" DIB= min 9" dbh;  9" DIB= min 11" dbh</t>
  </si>
  <si>
    <t>R10 Conv Logging Equip Mobilization cost calculator</t>
  </si>
  <si>
    <t>August 15, 2013 -  8" and 10" minimum diameter inside bark (DIB) utilization</t>
  </si>
  <si>
    <t xml:space="preserve">Changing the minimum DIB from 6" to 8" or 10" will increase total sale value by reducing costs and improving values.  Steps needed to evaluate 8" and 10" DIB are: </t>
  </si>
  <si>
    <t xml:space="preserve">2)  For 8" DIB , delete all less than 10" dbh cut trees from crz file, set top utilization to 8" DIB, and rerun the new 8DIB crz file in FS Cruise Processor.  </t>
  </si>
  <si>
    <t xml:space="preserve">  New cruise reports should then provide the volume inputs (i.e. GMBF/ac., GMBF/log, utility volume, etc.) needed in FASTR and log cost calculators for 8" minimum DIB.</t>
  </si>
  <si>
    <t xml:space="preserve">3)  For 10" DIB , delete all less than 12" dbh cut trees from crz file, set top utilization to 10" DIB, and rerun the new 10DIB crz file in FS Cruise Processor.  </t>
  </si>
  <si>
    <t xml:space="preserve">Clarified FASTR is limited to only providing DIB value and manufacturing adjustments when  1) Minimum DIB is 6", 8", 10";  and 2) Minimum DIB for YG equals OG. </t>
  </si>
  <si>
    <t xml:space="preserve">Drop list in Cell D5 on 'OG' and 'YG' tab limits DIB utilization to 6", 8", and 10" because FASTR calculations (Cell C25 in  'Logging Calc' tab) are based on 6", 8", 10" minimum DIB.  </t>
  </si>
  <si>
    <t>If small roundwood volume is missing in Cell  C61 ('RV Input Pg 1') when DIB is 8" or 10", Cell C25 in 'Logging Calc' tab will give error message "need small rdwd vol".</t>
  </si>
  <si>
    <t xml:space="preserve">Minimum DIB utiliz, enter 7 or 9  </t>
  </si>
  <si>
    <t xml:space="preserve">  For 10" DIB, delete less than 12" dbh trees and set top utilization to 10" DIB.</t>
  </si>
  <si>
    <t>5.  Setting AYD Horizontal Distance</t>
  </si>
  <si>
    <t>6.  Setting Elevation Change</t>
  </si>
  <si>
    <t>BY16 = IF(B2&gt;65,68470/(-0.01999*G2+232.609)*(0.0085*B2+0.4552),68470/(-0.01999*G2+232.609))*D2</t>
  </si>
  <si>
    <t>Updated standard minimum utilization = 7" DIB</t>
  </si>
  <si>
    <t>OG Helicopter (includes F&amp;B &amp; Mobe)</t>
  </si>
  <si>
    <t xml:space="preserve">YG Helicopter (includes F&amp;B &amp; Mobe) </t>
  </si>
  <si>
    <t xml:space="preserve">OG Conventional Logging </t>
  </si>
  <si>
    <t xml:space="preserve">YG Conventional Logging </t>
  </si>
  <si>
    <t>Conventional Logging (incl F&amp;B &amp; Mobe)</t>
  </si>
  <si>
    <t>Appraised Market</t>
  </si>
  <si>
    <t>avg exp value 7" DIB</t>
  </si>
  <si>
    <t>VDR 9" DIB</t>
  </si>
  <si>
    <t>avg exp value 9"DIB</t>
  </si>
  <si>
    <t xml:space="preserve">from 7 to 9" value gain/mbf </t>
  </si>
  <si>
    <t>9"  DIB value gain</t>
  </si>
  <si>
    <t>1) Maximum Alaska Mfg</t>
  </si>
  <si>
    <t>2) 100% Hem Export</t>
  </si>
  <si>
    <t>NMBF Dom</t>
  </si>
  <si>
    <t>When there are two tow destinations, Cell C45 (total tow cost)  on 'RV input Pg1'   needs to be adjusted before obtaining value for C78.</t>
  </si>
  <si>
    <t>Shortened tab names</t>
  </si>
  <si>
    <t>Input Column</t>
  </si>
  <si>
    <t>YG Ground-based Cost $ per NMBF (incl F&amp;B)</t>
  </si>
  <si>
    <t>YG Cable Cost $ per NMBF (incl F&amp;B)</t>
  </si>
  <si>
    <t xml:space="preserve">YG Helicopter Cost $ per NMBF (incl F&amp;B) </t>
  </si>
  <si>
    <t xml:space="preserve">November 17, 2018 -  </t>
  </si>
  <si>
    <t>YG Heli % by Net Sawlog</t>
  </si>
  <si>
    <t>YG Ground-Based % by Net Sawlog</t>
  </si>
  <si>
    <t>NEPA tab combines Gate 1 and Gate 2 tabs in previous versions.   Job coefficients updated to 2014-2017.</t>
  </si>
  <si>
    <t xml:space="preserve">Changed appraised market to reflect reality.  In the last 10 years, no RV sales were implemented with 100% domestic hem-ss.   </t>
  </si>
  <si>
    <t xml:space="preserve">March 1, 2019 -  </t>
  </si>
  <si>
    <t>Adjusted P&amp;R on 'BY17 Update' tab to reflect average P&amp;R adjustments from previous year appraisals.</t>
  </si>
  <si>
    <t xml:space="preserve"> BY18 = IF(B2&gt;65,60376/(-0.02152*G2+229.719)*(0.0085*B2+0.4552),60376/(-0.02152*G2+229.719))*D2</t>
  </si>
  <si>
    <t xml:space="preserve">August 1, 2019 -  </t>
  </si>
  <si>
    <t xml:space="preserve">2.   LogSys Harvest Acres </t>
  </si>
  <si>
    <t xml:space="preserve">Footnote3 in 'NEPA SUMMARY' Tab explains Timber Program Administrative Cost Update is pending possible changes in FSH 2409.18_32.22.     </t>
  </si>
  <si>
    <t>OG Log Sys</t>
  </si>
  <si>
    <t>Shovel CC</t>
  </si>
  <si>
    <t>YG Log Sys</t>
  </si>
  <si>
    <t>Helicopter</t>
  </si>
  <si>
    <t>Short Cable CC</t>
  </si>
  <si>
    <t>Short Cable PC</t>
  </si>
  <si>
    <t>Enter data in green cells</t>
  </si>
  <si>
    <t>Groundbased CC</t>
  </si>
  <si>
    <t>Groundbased PC</t>
  </si>
  <si>
    <t xml:space="preserve">District  </t>
  </si>
  <si>
    <t xml:space="preserve">On 'Input Pg1' Tab, user needs to enter total tow volume in Cell C39.   </t>
  </si>
  <si>
    <t xml:space="preserve">Updated selling values in  'BY18 Update'  tab.     </t>
  </si>
  <si>
    <t>Updated Tongass Timber Program Administrative Costs on 'NEPA' tab.</t>
  </si>
  <si>
    <t>Tow Statute Miles Round Trip Distance (weighted average)</t>
  </si>
  <si>
    <t>N/A</t>
  </si>
  <si>
    <t>not applicable</t>
  </si>
  <si>
    <t xml:space="preserve">Updated P&amp;R on 'BY19 Update' tab.    </t>
  </si>
  <si>
    <t>Project  Name</t>
  </si>
  <si>
    <t xml:space="preserve">Data Source </t>
  </si>
  <si>
    <t>L48 requires RF approval</t>
  </si>
  <si>
    <t>Added KTN as an approved export appraisal point on 'Input Pg1' tab.</t>
  </si>
  <si>
    <t xml:space="preserve">June 22, 2020 -  </t>
  </si>
  <si>
    <t>Made numerous clarifying edits in Column D on 'Input Pg1' tab.</t>
  </si>
  <si>
    <t xml:space="preserve">Updated selling values in  'BY19 Update'  tab.     </t>
  </si>
  <si>
    <t>Temp Road and Landing Construction</t>
  </si>
  <si>
    <t xml:space="preserve">Wted Avg Tow Round-trip Distance (RTD) is calculated when user enters RTD (domestic and export) into green cells (D:E 19:20) in 'NOTES' tab. </t>
  </si>
  <si>
    <t xml:space="preserve">Removed "closure cost" from cell B49 on 'Input Pg1' tab.   Temp road closure cost is included in cell B51. </t>
  </si>
  <si>
    <t xml:space="preserve">May 17, 2021 -  </t>
  </si>
  <si>
    <t>Post-haul Road Maintenance &amp; BD</t>
  </si>
  <si>
    <t xml:space="preserve"> BY20 = IF(B2&gt;65,58748/(-0.02152*G2+229.719)*(0.0085*B2+0.4552),58748/(-0.02152*G2+229.719))*D2</t>
  </si>
  <si>
    <t xml:space="preserve"> BY19 = IF(B2&gt;65,56720/(-0.02152*G2+229.719)*(0.0085*B2+0.4552),56720/(-0.02152*G2+229.719))*D2</t>
  </si>
  <si>
    <t>Post-haul Road Maintenance and Brush Disposal</t>
  </si>
  <si>
    <t>Added BD (brush disposal deposits) in cell B51 on 'Input Pg1' tab; cell A20 on 'Logging Cost' ta; and in cell B18 on 'Estimate1' and 'Estimate2' tabs.</t>
  </si>
  <si>
    <t>R10 Tow Cost Calculator</t>
  </si>
  <si>
    <r>
      <t>OG species % of Total OG</t>
    </r>
    <r>
      <rPr>
        <sz val="9"/>
        <color rgb="FFFF0000"/>
        <rFont val="MS Sans Serif"/>
      </rPr>
      <t xml:space="preserve"> NET Sawlog</t>
    </r>
    <r>
      <rPr>
        <sz val="9"/>
        <rFont val="MS Sans Serif"/>
      </rPr>
      <t xml:space="preserve"> </t>
    </r>
    <r>
      <rPr>
        <sz val="9"/>
        <color rgb="FFFF0000"/>
        <rFont val="MS Sans Serif"/>
      </rPr>
      <t>MBF</t>
    </r>
    <r>
      <rPr>
        <sz val="9"/>
        <rFont val="MS Sans Serif"/>
      </rPr>
      <t xml:space="preserve"> removed </t>
    </r>
  </si>
  <si>
    <t>Avg NMBF /acre</t>
  </si>
  <si>
    <r>
      <t xml:space="preserve">The template is basically the R10 RV Appraisal with five extra tabs:  </t>
    </r>
    <r>
      <rPr>
        <b/>
        <sz val="10"/>
        <rFont val="Microsoft Sans Serif"/>
        <family val="2"/>
      </rPr>
      <t>'Intro'</t>
    </r>
    <r>
      <rPr>
        <sz val="10"/>
        <rFont val="Microsoft Sans Serif"/>
        <family val="2"/>
      </rPr>
      <t xml:space="preserve">;  </t>
    </r>
    <r>
      <rPr>
        <b/>
        <sz val="10"/>
        <rFont val="Microsoft Sans Serif"/>
        <family val="2"/>
      </rPr>
      <t>'OG</t>
    </r>
    <r>
      <rPr>
        <sz val="10"/>
        <rFont val="Microsoft Sans Serif"/>
        <family val="2"/>
      </rPr>
      <t xml:space="preserve">'; </t>
    </r>
    <r>
      <rPr>
        <b/>
        <sz val="10"/>
        <rFont val="Microsoft Sans Serif"/>
        <family val="2"/>
      </rPr>
      <t>'YG'</t>
    </r>
    <r>
      <rPr>
        <sz val="10"/>
        <rFont val="Microsoft Sans Serif"/>
        <family val="2"/>
      </rPr>
      <t xml:space="preserve">;  </t>
    </r>
    <r>
      <rPr>
        <b/>
        <sz val="10"/>
        <rFont val="Microsoft Sans Serif"/>
        <family val="2"/>
      </rPr>
      <t xml:space="preserve">'Gate 1' </t>
    </r>
    <r>
      <rPr>
        <sz val="10"/>
        <rFont val="Microsoft Sans Serif"/>
        <family val="2"/>
      </rPr>
      <t xml:space="preserve">and </t>
    </r>
    <r>
      <rPr>
        <b/>
        <sz val="10"/>
        <rFont val="Microsoft Sans Serif"/>
        <family val="2"/>
      </rPr>
      <t>'Gate 2'</t>
    </r>
    <r>
      <rPr>
        <sz val="10"/>
        <rFont val="Microsoft Sans Serif"/>
        <family val="2"/>
      </rPr>
      <t>.  User enters data into "green" cells on "green" input tab worksheets.  Everything else is calculated.</t>
    </r>
  </si>
  <si>
    <r>
      <t xml:space="preserve">Indicators include: projected Tongass timber program admin costs, total local timber jobs, direct income, and indicated advertised value as shown in </t>
    </r>
    <r>
      <rPr>
        <b/>
        <sz val="10"/>
        <rFont val="Microsoft Sans Serif"/>
        <family val="2"/>
      </rPr>
      <t>'Gate 1'</t>
    </r>
    <r>
      <rPr>
        <sz val="10"/>
        <rFont val="Microsoft Sans Serif"/>
        <family val="2"/>
      </rPr>
      <t xml:space="preserve"> and '</t>
    </r>
    <r>
      <rPr>
        <b/>
        <sz val="10"/>
        <rFont val="Microsoft Sans Serif"/>
        <family val="2"/>
      </rPr>
      <t>Gate 2'</t>
    </r>
    <r>
      <rPr>
        <sz val="10"/>
        <rFont val="Microsoft Sans Serif"/>
        <family val="2"/>
      </rPr>
      <t xml:space="preserve"> Summaries.</t>
    </r>
  </si>
  <si>
    <r>
      <rPr>
        <b/>
        <sz val="10"/>
        <rFont val="Microsoft Sans Serif"/>
        <family val="2"/>
      </rPr>
      <t xml:space="preserve">AYC #2 &amp; #3 </t>
    </r>
    <r>
      <rPr>
        <sz val="10"/>
        <rFont val="Microsoft Sans Serif"/>
        <family val="2"/>
      </rPr>
      <t>logs and</t>
    </r>
    <r>
      <rPr>
        <b/>
        <sz val="10"/>
        <rFont val="Microsoft Sans Serif"/>
        <family val="2"/>
      </rPr>
      <t xml:space="preserve"> SS LT18"</t>
    </r>
    <r>
      <rPr>
        <sz val="10"/>
        <rFont val="Microsoft Sans Serif"/>
        <family val="2"/>
      </rPr>
      <t xml:space="preserve"> logs = 50% average species selling value; user follows instructions to update the Quality Adjustment Factors in Lines 74 &amp; 75 on </t>
    </r>
    <r>
      <rPr>
        <b/>
        <sz val="10"/>
        <rFont val="Microsoft Sans Serif"/>
        <family val="2"/>
      </rPr>
      <t>'RV Input Pg1'</t>
    </r>
    <r>
      <rPr>
        <sz val="10"/>
        <rFont val="Microsoft Sans Serif"/>
        <family val="2"/>
      </rPr>
      <t xml:space="preserve"> tab using best available information.</t>
    </r>
  </si>
  <si>
    <r>
      <t xml:space="preserve">* * * *  </t>
    </r>
    <r>
      <rPr>
        <b/>
        <sz val="10"/>
        <color rgb="FFFF0000"/>
        <rFont val="Microsoft Sans Serif"/>
        <family val="2"/>
      </rPr>
      <t>TIPS</t>
    </r>
    <r>
      <rPr>
        <sz val="10"/>
        <color rgb="FFFF0000"/>
        <rFont val="Microsoft Sans Serif"/>
        <family val="2"/>
      </rPr>
      <t xml:space="preserve"> for avoiding calculation problems:</t>
    </r>
  </si>
  <si>
    <r>
      <t xml:space="preserve">Do </t>
    </r>
    <r>
      <rPr>
        <b/>
        <sz val="10"/>
        <color rgb="FFFF0000"/>
        <rFont val="Microsoft Sans Serif"/>
        <family val="2"/>
      </rPr>
      <t>not</t>
    </r>
    <r>
      <rPr>
        <sz val="10"/>
        <color rgb="FFFF0000"/>
        <rFont val="Microsoft Sans Serif"/>
        <family val="2"/>
      </rPr>
      <t xml:space="preserve"> create a blank cell by pressing "</t>
    </r>
    <r>
      <rPr>
        <b/>
        <sz val="10"/>
        <color rgb="FFFF0000"/>
        <rFont val="Microsoft Sans Serif"/>
        <family val="2"/>
      </rPr>
      <t>space</t>
    </r>
    <r>
      <rPr>
        <sz val="10"/>
        <color rgb="FFFF0000"/>
        <rFont val="Microsoft Sans Serif"/>
        <family val="2"/>
      </rPr>
      <t xml:space="preserve"> bar" for "no data".  Use "</t>
    </r>
    <r>
      <rPr>
        <b/>
        <sz val="10"/>
        <color rgb="FFFF0000"/>
        <rFont val="Microsoft Sans Serif"/>
        <family val="2"/>
      </rPr>
      <t>delete</t>
    </r>
    <r>
      <rPr>
        <sz val="10"/>
        <color rgb="FFFF0000"/>
        <rFont val="Microsoft Sans Serif"/>
        <family val="2"/>
      </rPr>
      <t xml:space="preserve">" key to remove blank cells caused by "space bar" entry.  </t>
    </r>
  </si>
  <si>
    <r>
      <t>Always use "</t>
    </r>
    <r>
      <rPr>
        <b/>
        <sz val="10"/>
        <color rgb="FFFF0000"/>
        <rFont val="Microsoft Sans Serif"/>
        <family val="2"/>
      </rPr>
      <t xml:space="preserve">copy </t>
    </r>
    <r>
      <rPr>
        <sz val="10"/>
        <color rgb="FFFF0000"/>
        <rFont val="Microsoft Sans Serif"/>
        <family val="2"/>
      </rPr>
      <t>and paste" -  never use "</t>
    </r>
    <r>
      <rPr>
        <b/>
        <sz val="10"/>
        <color rgb="FFFF0000"/>
        <rFont val="Microsoft Sans Serif"/>
        <family val="2"/>
      </rPr>
      <t xml:space="preserve">cut </t>
    </r>
    <r>
      <rPr>
        <sz val="10"/>
        <color rgb="FFFF0000"/>
        <rFont val="Microsoft Sans Serif"/>
        <family val="2"/>
      </rPr>
      <t>and paste".</t>
    </r>
  </si>
  <si>
    <r>
      <rPr>
        <b/>
        <sz val="10"/>
        <color rgb="FFFF0000"/>
        <rFont val="Microsoft Sans Serif"/>
        <family val="2"/>
      </rPr>
      <t>Acres</t>
    </r>
    <r>
      <rPr>
        <sz val="10"/>
        <color rgb="FFFF0000"/>
        <rFont val="Microsoft Sans Serif"/>
        <family val="2"/>
      </rPr>
      <t xml:space="preserve"> in </t>
    </r>
    <r>
      <rPr>
        <b/>
        <sz val="10"/>
        <color rgb="FFFF0000"/>
        <rFont val="Microsoft Sans Serif"/>
        <family val="2"/>
      </rPr>
      <t xml:space="preserve">'OG' </t>
    </r>
    <r>
      <rPr>
        <sz val="10"/>
        <color rgb="FFFF0000"/>
        <rFont val="Microsoft Sans Serif"/>
        <family val="2"/>
      </rPr>
      <t xml:space="preserve">(columns B; L-Q) and </t>
    </r>
    <r>
      <rPr>
        <b/>
        <sz val="10"/>
        <color rgb="FFFF0000"/>
        <rFont val="Microsoft Sans Serif"/>
        <family val="2"/>
      </rPr>
      <t xml:space="preserve">'YG' </t>
    </r>
    <r>
      <rPr>
        <sz val="10"/>
        <color rgb="FFFF0000"/>
        <rFont val="Microsoft Sans Serif"/>
        <family val="2"/>
      </rPr>
      <t>(columns B; K-O) worksheets should be entered to the same number of decimal places.  For example,  if acres in one column are entered as whole numbers  (0 decimal</t>
    </r>
  </si>
  <si>
    <r>
      <t xml:space="preserve">Input is needed on Lines 78,79,80 on </t>
    </r>
    <r>
      <rPr>
        <b/>
        <sz val="10"/>
        <rFont val="Microsoft Sans Serif"/>
        <family val="2"/>
      </rPr>
      <t xml:space="preserve">'RV Input Pg1' </t>
    </r>
    <r>
      <rPr>
        <sz val="10"/>
        <rFont val="Microsoft Sans Serif"/>
        <family val="2"/>
      </rPr>
      <t xml:space="preserve">tab to calculate </t>
    </r>
    <r>
      <rPr>
        <b/>
        <sz val="10"/>
        <rFont val="Microsoft Sans Serif"/>
        <family val="2"/>
      </rPr>
      <t xml:space="preserve">job outputs </t>
    </r>
    <r>
      <rPr>
        <sz val="10"/>
        <rFont val="Microsoft Sans Serif"/>
        <family val="2"/>
      </rPr>
      <t>(100% Alaska domestic processing of OG h-ss) on '</t>
    </r>
    <r>
      <rPr>
        <b/>
        <sz val="10"/>
        <rFont val="Microsoft Sans Serif"/>
        <family val="2"/>
      </rPr>
      <t xml:space="preserve">Gate 2 NEPA Summary' </t>
    </r>
    <r>
      <rPr>
        <sz val="10"/>
        <rFont val="Microsoft Sans Serif"/>
        <family val="2"/>
      </rPr>
      <t xml:space="preserve">tab. </t>
    </r>
  </si>
  <si>
    <r>
      <t xml:space="preserve">If approved for L48 WRC export, seek assistance from RO Valuation on to </t>
    </r>
    <r>
      <rPr>
        <b/>
        <sz val="10"/>
        <rFont val="Microsoft Sans Serif"/>
        <family val="2"/>
      </rPr>
      <t xml:space="preserve">reactivate 'RV Input Pg 1' Cells </t>
    </r>
    <r>
      <rPr>
        <sz val="10"/>
        <rFont val="Microsoft Sans Serif"/>
        <family val="2"/>
      </rPr>
      <t xml:space="preserve"> </t>
    </r>
    <r>
      <rPr>
        <b/>
        <sz val="10"/>
        <rFont val="Microsoft Sans Serif"/>
        <family val="2"/>
      </rPr>
      <t>C11</t>
    </r>
    <r>
      <rPr>
        <sz val="10"/>
        <rFont val="Microsoft Sans Serif"/>
        <family val="2"/>
      </rPr>
      <t xml:space="preserve">, </t>
    </r>
    <r>
      <rPr>
        <b/>
        <sz val="10"/>
        <rFont val="Microsoft Sans Serif"/>
        <family val="2"/>
      </rPr>
      <t xml:space="preserve">F70 </t>
    </r>
    <r>
      <rPr>
        <sz val="10"/>
        <rFont val="Microsoft Sans Serif"/>
        <family val="2"/>
      </rPr>
      <t xml:space="preserve">(%Alaska), </t>
    </r>
    <r>
      <rPr>
        <b/>
        <sz val="10"/>
        <rFont val="Microsoft Sans Serif"/>
        <family val="2"/>
      </rPr>
      <t>G70</t>
    </r>
    <r>
      <rPr>
        <sz val="10"/>
        <rFont val="Microsoft Sans Serif"/>
        <family val="2"/>
      </rPr>
      <t xml:space="preserve"> (% L48), and </t>
    </r>
    <r>
      <rPr>
        <b/>
        <sz val="10"/>
        <rFont val="Microsoft Sans Serif"/>
        <family val="2"/>
      </rPr>
      <t>J76</t>
    </r>
    <r>
      <rPr>
        <sz val="10"/>
        <rFont val="Microsoft Sans Serif"/>
        <family val="2"/>
      </rPr>
      <t xml:space="preserve"> (% of total sale net saw)    </t>
    </r>
  </si>
  <si>
    <r>
      <t xml:space="preserve">Since the </t>
    </r>
    <r>
      <rPr>
        <b/>
        <sz val="10"/>
        <rFont val="Microsoft Sans Serif"/>
        <family val="2"/>
      </rPr>
      <t>amount of hem, ss, and L48 WRC export is limited to 50%</t>
    </r>
    <r>
      <rPr>
        <sz val="10"/>
        <rFont val="Microsoft Sans Serif"/>
        <family val="2"/>
      </rPr>
      <t xml:space="preserve"> total sale net saw,  user will need to </t>
    </r>
    <r>
      <rPr>
        <b/>
        <sz val="10"/>
        <rFont val="Microsoft Sans Serif"/>
        <family val="2"/>
      </rPr>
      <t xml:space="preserve">reduce the % of hem-ss export </t>
    </r>
    <r>
      <rPr>
        <sz val="10"/>
        <rFont val="Microsoft Sans Serif"/>
        <family val="2"/>
      </rPr>
      <t xml:space="preserve">until </t>
    </r>
    <r>
      <rPr>
        <b/>
        <sz val="10"/>
        <rFont val="Microsoft Sans Serif"/>
        <family val="2"/>
      </rPr>
      <t>Cell J76 = 50%.</t>
    </r>
  </si>
  <si>
    <r>
      <t xml:space="preserve">Check the Volume Matrix to make sure </t>
    </r>
    <r>
      <rPr>
        <b/>
        <sz val="10"/>
        <rFont val="Microsoft Sans Serif"/>
        <family val="2"/>
      </rPr>
      <t>Cell F (%Alaska) + Cell G (%Foreign) = 100%</t>
    </r>
    <r>
      <rPr>
        <sz val="10"/>
        <rFont val="Microsoft Sans Serif"/>
        <family val="2"/>
      </rPr>
      <t xml:space="preserve"> for each species line (65-70).</t>
    </r>
  </si>
  <si>
    <r>
      <t xml:space="preserve">1)  Enter minimum DIB in Cell D5 on the </t>
    </r>
    <r>
      <rPr>
        <b/>
        <sz val="10"/>
        <rFont val="Microsoft Sans Serif"/>
        <family val="2"/>
      </rPr>
      <t>'OG'</t>
    </r>
    <r>
      <rPr>
        <sz val="10"/>
        <rFont val="Microsoft Sans Serif"/>
        <family val="2"/>
      </rPr>
      <t xml:space="preserve"> or '</t>
    </r>
    <r>
      <rPr>
        <b/>
        <sz val="10"/>
        <rFont val="Microsoft Sans Serif"/>
        <family val="2"/>
      </rPr>
      <t xml:space="preserve">YG' </t>
    </r>
    <r>
      <rPr>
        <sz val="10"/>
        <rFont val="Microsoft Sans Serif"/>
        <family val="2"/>
      </rPr>
      <t>tab.   NOTE:  Minimum DIB for YG needs to equal OG.</t>
    </r>
  </si>
  <si>
    <r>
      <t xml:space="preserve">3)  Calculate difference between </t>
    </r>
    <r>
      <rPr>
        <b/>
        <sz val="10"/>
        <rFont val="Microsoft Sans Serif"/>
        <family val="2"/>
      </rPr>
      <t xml:space="preserve">6" DIB total sale NMBF </t>
    </r>
    <r>
      <rPr>
        <sz val="10"/>
        <rFont val="Microsoft Sans Serif"/>
        <family val="2"/>
      </rPr>
      <t xml:space="preserve">(without utility) and </t>
    </r>
    <r>
      <rPr>
        <b/>
        <sz val="10"/>
        <rFont val="Microsoft Sans Serif"/>
        <family val="2"/>
      </rPr>
      <t xml:space="preserve">8" DIB </t>
    </r>
    <r>
      <rPr>
        <sz val="10"/>
        <rFont val="Microsoft Sans Serif"/>
        <family val="2"/>
      </rPr>
      <t xml:space="preserve">(or 10" DIB) </t>
    </r>
    <r>
      <rPr>
        <b/>
        <sz val="10"/>
        <rFont val="Microsoft Sans Serif"/>
        <family val="2"/>
      </rPr>
      <t>total sale NMBF</t>
    </r>
    <r>
      <rPr>
        <sz val="10"/>
        <rFont val="Microsoft Sans Serif"/>
        <family val="2"/>
      </rPr>
      <t>.   Enter the difference as "small roundwood optional volume" in Cell  C61</t>
    </r>
  </si>
  <si>
    <r>
      <t xml:space="preserve">on </t>
    </r>
    <r>
      <rPr>
        <b/>
        <sz val="10"/>
        <rFont val="Microsoft Sans Serif"/>
        <family val="2"/>
      </rPr>
      <t>'RV Input Pg1'</t>
    </r>
    <r>
      <rPr>
        <sz val="10"/>
        <rFont val="Microsoft Sans Serif"/>
        <family val="2"/>
      </rPr>
      <t>.</t>
    </r>
  </si>
  <si>
    <r>
      <t xml:space="preserve">Cell E32 on the </t>
    </r>
    <r>
      <rPr>
        <b/>
        <sz val="10"/>
        <rFont val="Microsoft Sans Serif"/>
        <family val="2"/>
      </rPr>
      <t>'RV Input Pg1'</t>
    </r>
    <r>
      <rPr>
        <sz val="10"/>
        <rFont val="Microsoft Sans Serif"/>
        <family val="2"/>
      </rPr>
      <t xml:space="preserve">  will give an error message if Total Heli NMBF volumes do NOT match Heli NMBF volumes in 'OG' and 'OGHeli Input Pg2'.</t>
    </r>
  </si>
  <si>
    <r>
      <t>Cells E41 &amp; E42 on '</t>
    </r>
    <r>
      <rPr>
        <b/>
        <sz val="10"/>
        <rFont val="Microsoft Sans Serif"/>
        <family val="2"/>
      </rPr>
      <t>RV Input Pg1'</t>
    </r>
    <r>
      <rPr>
        <sz val="10"/>
        <rFont val="Microsoft Sans Serif"/>
        <family val="2"/>
      </rPr>
      <t xml:space="preserve">  checks if Haul GMBF (C41 &amp; C42) matches Total GMBF.   If C41 or C42 questions "Not all volume hauled?", user may need to correct C41 or C42 to equal  Total GMBF </t>
    </r>
  </si>
  <si>
    <r>
      <t>If user enters all heli units in</t>
    </r>
    <r>
      <rPr>
        <b/>
        <sz val="10"/>
        <rFont val="Microsoft Sans Serif"/>
        <family val="2"/>
      </rPr>
      <t xml:space="preserve"> "sequential order" </t>
    </r>
    <r>
      <rPr>
        <sz val="10"/>
        <rFont val="Microsoft Sans Serif"/>
        <family val="2"/>
      </rPr>
      <t>in '</t>
    </r>
    <r>
      <rPr>
        <b/>
        <sz val="10"/>
        <rFont val="Microsoft Sans Serif"/>
        <family val="2"/>
      </rPr>
      <t xml:space="preserve">OG' </t>
    </r>
    <r>
      <rPr>
        <sz val="10"/>
        <rFont val="Microsoft Sans Serif"/>
        <family val="2"/>
      </rPr>
      <t xml:space="preserve">tab, then they can "copy and paste VALUES" from </t>
    </r>
    <r>
      <rPr>
        <b/>
        <sz val="10"/>
        <rFont val="Microsoft Sans Serif"/>
        <family val="2"/>
      </rPr>
      <t>Column X</t>
    </r>
    <r>
      <rPr>
        <sz val="10"/>
        <rFont val="Microsoft Sans Serif"/>
        <family val="2"/>
      </rPr>
      <t xml:space="preserve"> (heli NMBF) in </t>
    </r>
    <r>
      <rPr>
        <b/>
        <sz val="10"/>
        <rFont val="Microsoft Sans Serif"/>
        <family val="2"/>
      </rPr>
      <t>'OG</t>
    </r>
    <r>
      <rPr>
        <sz val="10"/>
        <rFont val="Microsoft Sans Serif"/>
        <family val="2"/>
      </rPr>
      <t xml:space="preserve">' tab to </t>
    </r>
    <r>
      <rPr>
        <b/>
        <sz val="10"/>
        <rFont val="Microsoft Sans Serif"/>
        <family val="2"/>
      </rPr>
      <t xml:space="preserve">Column D </t>
    </r>
    <r>
      <rPr>
        <sz val="10"/>
        <rFont val="Microsoft Sans Serif"/>
        <family val="2"/>
      </rPr>
      <t>in '</t>
    </r>
    <r>
      <rPr>
        <b/>
        <sz val="10"/>
        <rFont val="Microsoft Sans Serif"/>
        <family val="2"/>
      </rPr>
      <t>OG Heli Input Pg2</t>
    </r>
    <r>
      <rPr>
        <sz val="10"/>
        <rFont val="Microsoft Sans Serif"/>
        <family val="2"/>
      </rPr>
      <t xml:space="preserve">' tab.   </t>
    </r>
  </si>
  <si>
    <r>
      <t xml:space="preserve">To prevent errors, </t>
    </r>
    <r>
      <rPr>
        <b/>
        <sz val="10"/>
        <rFont val="Microsoft Sans Serif"/>
        <family val="2"/>
      </rPr>
      <t xml:space="preserve">ALL heli units </t>
    </r>
    <r>
      <rPr>
        <sz val="10"/>
        <rFont val="Microsoft Sans Serif"/>
        <family val="2"/>
      </rPr>
      <t xml:space="preserve">must be </t>
    </r>
    <r>
      <rPr>
        <b/>
        <sz val="10"/>
        <rFont val="Microsoft Sans Serif"/>
        <family val="2"/>
      </rPr>
      <t>"in sequential order"</t>
    </r>
    <r>
      <rPr>
        <sz val="10"/>
        <rFont val="Microsoft Sans Serif"/>
        <family val="2"/>
      </rPr>
      <t xml:space="preserve"> on 'OG' tab  and user must </t>
    </r>
    <r>
      <rPr>
        <b/>
        <sz val="10"/>
        <rFont val="Microsoft Sans Serif"/>
        <family val="2"/>
      </rPr>
      <t>"copy"</t>
    </r>
    <r>
      <rPr>
        <sz val="10"/>
        <rFont val="Microsoft Sans Serif"/>
        <family val="2"/>
      </rPr>
      <t xml:space="preserve"> (NOTcut) and paste </t>
    </r>
    <r>
      <rPr>
        <b/>
        <sz val="10"/>
        <rFont val="Microsoft Sans Serif"/>
        <family val="2"/>
      </rPr>
      <t>"values"</t>
    </r>
    <r>
      <rPr>
        <sz val="10"/>
        <rFont val="Microsoft Sans Serif"/>
        <family val="2"/>
      </rPr>
      <t xml:space="preserve">. </t>
    </r>
  </si>
  <si>
    <r>
      <rPr>
        <b/>
        <sz val="10"/>
        <color rgb="FF0000FF"/>
        <rFont val="Microsoft Sans Serif"/>
        <family val="2"/>
      </rPr>
      <t>'OG' and 'YG' tabs:</t>
    </r>
    <r>
      <rPr>
        <sz val="10"/>
        <rFont val="Microsoft Sans Serif"/>
        <family val="2"/>
      </rPr>
      <t xml:space="preserve"> </t>
    </r>
  </si>
  <si>
    <r>
      <rPr>
        <b/>
        <sz val="10"/>
        <color rgb="FF0000FF"/>
        <rFont val="Microsoft Sans Serif"/>
        <family val="2"/>
      </rPr>
      <t>'P&amp;R Input' tab:</t>
    </r>
    <r>
      <rPr>
        <sz val="10"/>
        <rFont val="Microsoft Sans Serif"/>
        <family val="2"/>
      </rPr>
      <t xml:space="preserve"> </t>
    </r>
  </si>
  <si>
    <t>cable cc</t>
  </si>
  <si>
    <t>cable pc</t>
  </si>
  <si>
    <r>
      <t xml:space="preserve">YG </t>
    </r>
    <r>
      <rPr>
        <b/>
        <sz val="9"/>
        <color rgb="FF0033CC"/>
        <rFont val="Microsoft Sans Serif"/>
        <family val="2"/>
      </rPr>
      <t>Conventional Net</t>
    </r>
    <r>
      <rPr>
        <sz val="9"/>
        <color rgb="FF0033CC"/>
        <rFont val="Microsoft Sans Serif"/>
        <family val="2"/>
      </rPr>
      <t xml:space="preserve"> Volume </t>
    </r>
  </si>
  <si>
    <r>
      <rPr>
        <b/>
        <sz val="9"/>
        <color indexed="8"/>
        <rFont val="Microsoft Sans Serif"/>
        <family val="2"/>
      </rPr>
      <t>OG</t>
    </r>
    <r>
      <rPr>
        <sz val="9"/>
        <color indexed="8"/>
        <rFont val="Microsoft Sans Serif"/>
        <family val="2"/>
      </rPr>
      <t xml:space="preserve"> Shovel CC % by Net Sawlog</t>
    </r>
  </si>
  <si>
    <r>
      <t>Total NET</t>
    </r>
    <r>
      <rPr>
        <sz val="9"/>
        <color indexed="8"/>
        <rFont val="Microsoft Sans Serif"/>
        <family val="2"/>
      </rPr>
      <t xml:space="preserve"> Sawlog MBF </t>
    </r>
    <r>
      <rPr>
        <b/>
        <sz val="9"/>
        <color indexed="8"/>
        <rFont val="Microsoft Sans Serif"/>
        <family val="2"/>
      </rPr>
      <t>Towed</t>
    </r>
    <r>
      <rPr>
        <sz val="9"/>
        <color indexed="8"/>
        <rFont val="Microsoft Sans Serif"/>
        <family val="2"/>
      </rPr>
      <t xml:space="preserve"> (barge &amp; raft)</t>
    </r>
  </si>
  <si>
    <r>
      <t xml:space="preserve">3.  Uphill Yarding </t>
    </r>
    <r>
      <rPr>
        <sz val="10"/>
        <rFont val="Microsoft Sans Serif"/>
        <family val="2"/>
      </rPr>
      <t>(yes/no)</t>
    </r>
  </si>
  <si>
    <t>BY17 = IF(B2&gt;65,59111/(-0.01999*G2+232.609)*(0.0085*B2+0.4552),59111/(-0.01999*G2+232.609))*D2</t>
  </si>
  <si>
    <r>
      <t xml:space="preserve">Stump to Mill </t>
    </r>
    <r>
      <rPr>
        <sz val="10"/>
        <rFont val="Microsoft Sans Serif"/>
        <family val="2"/>
      </rPr>
      <t>including roads</t>
    </r>
  </si>
  <si>
    <r>
      <rPr>
        <b/>
        <sz val="10"/>
        <rFont val="Microsoft Sans Serif"/>
        <family val="2"/>
      </rPr>
      <t>Total Production</t>
    </r>
    <r>
      <rPr>
        <sz val="10"/>
        <rFont val="Microsoft Sans Serif"/>
        <family val="2"/>
      </rPr>
      <t xml:space="preserve"> </t>
    </r>
    <r>
      <rPr>
        <b/>
        <sz val="10"/>
        <rFont val="Microsoft Sans Serif"/>
        <family val="2"/>
      </rPr>
      <t>Costs</t>
    </r>
    <r>
      <rPr>
        <sz val="10"/>
        <rFont val="Microsoft Sans Serif"/>
        <family val="2"/>
      </rPr>
      <t xml:space="preserve"> (stump-to-mill, roads, &amp; mfg)</t>
    </r>
  </si>
  <si>
    <r>
      <t>Pond Log Value</t>
    </r>
    <r>
      <rPr>
        <vertAlign val="superscript"/>
        <sz val="10"/>
        <rFont val="Microsoft Sans Serif"/>
        <family val="2"/>
      </rPr>
      <t>1</t>
    </r>
    <r>
      <rPr>
        <sz val="10"/>
        <rFont val="Microsoft Sans Serif"/>
        <family val="2"/>
      </rPr>
      <t xml:space="preserve"> $/ MBF</t>
    </r>
  </si>
  <si>
    <r>
      <t>Stump-to-Mill</t>
    </r>
    <r>
      <rPr>
        <vertAlign val="superscript"/>
        <sz val="10"/>
        <rFont val="Microsoft Sans Serif"/>
        <family val="2"/>
      </rPr>
      <t>2</t>
    </r>
    <r>
      <rPr>
        <sz val="10"/>
        <rFont val="Microsoft Sans Serif"/>
        <family val="2"/>
      </rPr>
      <t xml:space="preserve"> Cost  $/ MBF</t>
    </r>
  </si>
  <si>
    <r>
      <rPr>
        <b/>
        <sz val="12"/>
        <rFont val="Microsoft Sans Serif"/>
        <family val="2"/>
      </rPr>
      <t>GATE 1</t>
    </r>
    <r>
      <rPr>
        <b/>
        <sz val="10"/>
        <rFont val="Microsoft Sans Serif"/>
        <family val="2"/>
      </rPr>
      <t xml:space="preserve"> Projected Tongass Timber Program Admin Costs</t>
    </r>
    <r>
      <rPr>
        <b/>
        <vertAlign val="superscript"/>
        <sz val="10"/>
        <rFont val="Microsoft Sans Serif"/>
        <family val="2"/>
      </rPr>
      <t>3</t>
    </r>
  </si>
  <si>
    <r>
      <t>NEPA Planning</t>
    </r>
    <r>
      <rPr>
        <vertAlign val="superscript"/>
        <sz val="10"/>
        <rFont val="Microsoft Sans Serif"/>
        <family val="2"/>
      </rPr>
      <t>4</t>
    </r>
  </si>
  <si>
    <r>
      <rPr>
        <b/>
        <sz val="12"/>
        <color rgb="FF00B050"/>
        <rFont val="Microsoft Sans Serif"/>
        <family val="2"/>
      </rPr>
      <t xml:space="preserve">GATE 2 </t>
    </r>
    <r>
      <rPr>
        <b/>
        <sz val="10"/>
        <rFont val="Microsoft Sans Serif"/>
        <family val="2"/>
      </rPr>
      <t xml:space="preserve"> Projected Tongass Timber Program Admin Costs</t>
    </r>
    <r>
      <rPr>
        <b/>
        <vertAlign val="superscript"/>
        <sz val="10"/>
        <rFont val="Microsoft Sans Serif"/>
        <family val="2"/>
      </rPr>
      <t>3</t>
    </r>
  </si>
  <si>
    <r>
      <rPr>
        <vertAlign val="superscript"/>
        <sz val="9"/>
        <rFont val="Microsoft Sans Serif"/>
        <family val="2"/>
      </rPr>
      <t>1</t>
    </r>
    <r>
      <rPr>
        <sz val="9"/>
        <rFont val="Microsoft Sans Serif"/>
        <family val="2"/>
      </rPr>
      <t xml:space="preserve"> Pond Log Value = End-product selling value minus manufacturing cost.</t>
    </r>
  </si>
  <si>
    <r>
      <rPr>
        <vertAlign val="superscript"/>
        <sz val="9"/>
        <rFont val="Microsoft Sans Serif"/>
        <family val="2"/>
      </rPr>
      <t>2</t>
    </r>
    <r>
      <rPr>
        <sz val="9"/>
        <rFont val="Microsoft Sans Serif"/>
        <family val="2"/>
      </rPr>
      <t xml:space="preserve"> Stump-to-Mill Cost = Logging, transporting, and road costs.</t>
    </r>
  </si>
  <si>
    <r>
      <rPr>
        <vertAlign val="superscript"/>
        <sz val="9"/>
        <rFont val="Microsoft Sans Serif"/>
        <family val="2"/>
      </rPr>
      <t>4</t>
    </r>
    <r>
      <rPr>
        <sz val="9"/>
        <rFont val="Microsoft Sans Serif"/>
        <family val="2"/>
      </rPr>
      <t xml:space="preserve"> At Gate 1, NEPA Planning is a "projected" cost because it has not yet occurred.   At </t>
    </r>
    <r>
      <rPr>
        <b/>
        <sz val="9"/>
        <color rgb="FF00B050"/>
        <rFont val="Microsoft Sans Serif"/>
        <family val="2"/>
      </rPr>
      <t>Gate 2</t>
    </r>
    <r>
      <rPr>
        <sz val="9"/>
        <rFont val="Microsoft Sans Serif"/>
        <family val="2"/>
      </rPr>
      <t>, NEPA is NOT a projected cost because it has already occurred.</t>
    </r>
  </si>
  <si>
    <t xml:space="preserve">             Year_Qtr</t>
  </si>
  <si>
    <t xml:space="preserve">Updated selling values in  'BY20 Update' tab.     </t>
  </si>
  <si>
    <t>Updated selling values in 'BY20 Update' tab.</t>
  </si>
  <si>
    <t xml:space="preserve">Deleted (not needed) Weighted Average Tow RTD calculation from 'NOTES' tab.  </t>
  </si>
  <si>
    <t>Reduced number of units in 'OG Heli Input' tab.</t>
  </si>
  <si>
    <t>H</t>
  </si>
  <si>
    <t>Hem</t>
  </si>
  <si>
    <t>SS saw 18.0+ DIB</t>
  </si>
  <si>
    <t>SS saw &lt;18.0 DIB</t>
  </si>
  <si>
    <t>Hem saw all DIB</t>
  </si>
  <si>
    <t>AYC saw all DIB</t>
  </si>
  <si>
    <t>263 263Y</t>
  </si>
  <si>
    <t>WRC saw all DIB</t>
  </si>
  <si>
    <t>SS</t>
  </si>
  <si>
    <t>OG conventional Net Volume</t>
  </si>
  <si>
    <t>Total Conventional Net MBF</t>
  </si>
  <si>
    <t>Total saw</t>
  </si>
  <si>
    <t>% Domestic AK</t>
  </si>
  <si>
    <t>% Log Export</t>
  </si>
  <si>
    <t xml:space="preserve">2)  Maxium Log Export </t>
  </si>
  <si>
    <t>1)  Maximum Domestic Alaska Mfg</t>
  </si>
  <si>
    <t>Need for Tow Calculator</t>
  </si>
  <si>
    <t>Need for Camp Calculator</t>
  </si>
  <si>
    <t>AK Domestic Mfg MBF net</t>
  </si>
  <si>
    <t xml:space="preserve">AK Domestic Mfg SV fob </t>
  </si>
  <si>
    <t>AK Domestic mfg</t>
  </si>
  <si>
    <t>ayc</t>
  </si>
  <si>
    <t>hem</t>
  </si>
  <si>
    <t>2)  Maximum Log Export</t>
  </si>
  <si>
    <t>1) Max Dom AK Mfg</t>
  </si>
  <si>
    <t>2) Max Log Export</t>
  </si>
  <si>
    <t>Projected Sawlog Volumes, Values, and Costs</t>
  </si>
  <si>
    <t>Hemlock  NMBF</t>
  </si>
  <si>
    <t xml:space="preserve">Changed data input on 'OG' and 'YG' tabs from "cutting unit" to "logging system".   </t>
  </si>
  <si>
    <t xml:space="preserve">For example,    1.  OG LogSys     2.  LogSys Harv Ac     3. NMBF/ac  9+"dbh      </t>
  </si>
  <si>
    <t>Row 10 Input:        Shovel                    543.2                         22.7</t>
  </si>
  <si>
    <t>Updated selling values (2022 Q1) and costs (Base Year 2021).</t>
  </si>
  <si>
    <t xml:space="preserve">2) In 'YG units' tab, added AYC and WRC.       </t>
  </si>
  <si>
    <t xml:space="preserve">4) In 'Input Pg1' tab, minimized number of log categories (5). </t>
  </si>
  <si>
    <t>YG Shovel/Groundbased</t>
  </si>
  <si>
    <t xml:space="preserve">YG Cable </t>
  </si>
  <si>
    <t>5) FASTR compares  1) Maximum Domestic Alaska Mfg;   2) Maximum Log Export.</t>
  </si>
  <si>
    <t>Export NMBF</t>
  </si>
  <si>
    <t>May 5, 2022-</t>
  </si>
  <si>
    <t xml:space="preserve">Changes due to OG timber sale restriction  (5 MMBF/year):  </t>
  </si>
  <si>
    <t xml:space="preserve"> BY21 = IF(B2&gt;65,59584/(-0.02152*G2+229.719)*(0.0085*B2+0.4552),59584/(-0.02152*G2+229.719))*D2</t>
  </si>
  <si>
    <t>Yellow Cedar  NMBF</t>
  </si>
  <si>
    <t>Red Cedar  NMBF</t>
  </si>
  <si>
    <t>1) Throughout FASTR, removed GMBF and scaling defect.</t>
  </si>
  <si>
    <r>
      <t xml:space="preserve"> </t>
    </r>
    <r>
      <rPr>
        <b/>
        <sz val="10"/>
        <rFont val="Microsoft Sans Serif"/>
        <family val="2"/>
      </rPr>
      <t>Project Name</t>
    </r>
  </si>
  <si>
    <t xml:space="preserve"> Project Name</t>
  </si>
  <si>
    <t xml:space="preserve">    % Total saw</t>
  </si>
  <si>
    <t>precruise R001, adjacent sale</t>
  </si>
  <si>
    <t>% cable cc</t>
  </si>
  <si>
    <t>% cable pc</t>
  </si>
  <si>
    <t>Nmbf/ac</t>
  </si>
  <si>
    <t>cable CC acres</t>
  </si>
  <si>
    <t>cable PC acres</t>
  </si>
  <si>
    <t>GB cc</t>
  </si>
  <si>
    <t>GB pc</t>
  </si>
  <si>
    <t>11.  GB CC (incl ROW)
Acres</t>
  </si>
  <si>
    <t xml:space="preserve">1.   YG Logging System (LogSys) </t>
  </si>
  <si>
    <t xml:space="preserve">4.  YG NMBF </t>
  </si>
  <si>
    <t xml:space="preserve">5.  SS NMBF </t>
  </si>
  <si>
    <t xml:space="preserve">6.  Hem NMBF </t>
  </si>
  <si>
    <t xml:space="preserve">7.  AYC NMBF </t>
  </si>
  <si>
    <t xml:space="preserve">8.  WRC NMBF </t>
  </si>
  <si>
    <t>YG NMBF</t>
  </si>
  <si>
    <t>OG NMBF</t>
  </si>
  <si>
    <t>Nmbf /ac</t>
  </si>
  <si>
    <t xml:space="preserve">1.   OG Logging System (LogSys) </t>
  </si>
  <si>
    <t>Total OG Harvest Ac</t>
  </si>
  <si>
    <t>Total YG Harvest Ac</t>
  </si>
  <si>
    <t xml:space="preserve">5.  OG NMBF </t>
  </si>
  <si>
    <t xml:space="preserve">6.  SS NMBF </t>
  </si>
  <si>
    <t xml:space="preserve">7.  Hem NMBF </t>
  </si>
  <si>
    <t xml:space="preserve">8.  AYC NMBF </t>
  </si>
  <si>
    <t xml:space="preserve">9.  WRC NMBF </t>
  </si>
  <si>
    <t xml:space="preserve">TOTAL OG Net Sawlog MBF </t>
  </si>
  <si>
    <t xml:space="preserve">TOTAL YG Net Sawlog MBF </t>
  </si>
  <si>
    <t xml:space="preserve">YG Heli Net Sawlog MBF </t>
  </si>
  <si>
    <t>YG Ground-Based Net Sawlog MBF  incl ROW</t>
  </si>
  <si>
    <t xml:space="preserve">YG Cable Net Sawlog MBF </t>
  </si>
  <si>
    <t xml:space="preserve">OG Heli Net Sawlog MBF </t>
  </si>
  <si>
    <t>OG Shovel CC Net Sawlog MBF  incl ROW</t>
  </si>
  <si>
    <t>OG NET Sawlog MBF  per acre</t>
  </si>
  <si>
    <t xml:space="preserve">Haul OG NET Sawlog MBF </t>
  </si>
  <si>
    <t xml:space="preserve">Haul YG NET Sawlog MBF </t>
  </si>
  <si>
    <t xml:space="preserve">OG Heli % by Net Sawlog </t>
  </si>
  <si>
    <t>YG  Cable % by Net Sawlog</t>
  </si>
  <si>
    <t>OG  Cable CC % by Net Sawlog</t>
  </si>
  <si>
    <t xml:space="preserve">OG  Cable CC Net Sawlog MBF </t>
  </si>
  <si>
    <t>Minimum diameter inside bark (DIB) utiliz</t>
  </si>
  <si>
    <t>1. OG  Heli  Setting #</t>
  </si>
  <si>
    <r>
      <t xml:space="preserve">2.  </t>
    </r>
    <r>
      <rPr>
        <b/>
        <sz val="9"/>
        <rFont val="Microsoft Sans Serif"/>
        <family val="2"/>
      </rPr>
      <t xml:space="preserve">% Basal Area Retention  </t>
    </r>
    <r>
      <rPr>
        <b/>
        <sz val="10"/>
        <rFont val="Microsoft Sans Serif"/>
        <family val="2"/>
      </rPr>
      <t xml:space="preserve">            </t>
    </r>
    <r>
      <rPr>
        <sz val="10"/>
        <rFont val="Microsoft Sans Serif"/>
        <family val="2"/>
      </rPr>
      <t xml:space="preserve"> (</t>
    </r>
    <r>
      <rPr>
        <sz val="8"/>
        <rFont val="Microsoft Sans Serif"/>
        <family val="2"/>
      </rPr>
      <t>if &gt;= 66%,  enter whole number)</t>
    </r>
  </si>
  <si>
    <t xml:space="preserve">Net MBF </t>
  </si>
  <si>
    <t>Cost per Net MBF</t>
  </si>
  <si>
    <t xml:space="preserve">2)  Maximum Log Export </t>
  </si>
  <si>
    <t>Log Export MBF net</t>
  </si>
  <si>
    <t>Log Export SV* fasAK mill</t>
  </si>
  <si>
    <t>Log Export mfg</t>
  </si>
  <si>
    <t>HS Export</t>
  </si>
  <si>
    <t>HS +ayc +wrc</t>
  </si>
  <si>
    <t>HS +ayc Export</t>
  </si>
  <si>
    <t>NMBF Export incl L48</t>
  </si>
  <si>
    <t>OG Cable CC (includes F&amp;B)</t>
  </si>
  <si>
    <t>per Net MBF</t>
  </si>
  <si>
    <t xml:space="preserve"> NEPA  ALT </t>
  </si>
  <si>
    <t>NEPA  ALT</t>
  </si>
  <si>
    <t>12.  Shov CC (incl ROW)
Acres</t>
  </si>
  <si>
    <t>3.  YG NMBF/ac          9+" dbh</t>
  </si>
  <si>
    <t>3.   OG NMBF/ac         9+" dbh</t>
  </si>
  <si>
    <t>NMBF/ac and species%  should correspond with DIB.</t>
  </si>
  <si>
    <t>NMBF check</t>
  </si>
  <si>
    <r>
      <t xml:space="preserve">4. Setting Net MBF  </t>
    </r>
    <r>
      <rPr>
        <sz val="10"/>
        <color indexed="8"/>
        <rFont val="Microsoft Sans Serif"/>
        <family val="2"/>
      </rPr>
      <t xml:space="preserve">  (</t>
    </r>
    <r>
      <rPr>
        <sz val="9"/>
        <color indexed="8"/>
        <rFont val="Microsoft Sans Serif"/>
        <family val="2"/>
      </rPr>
      <t>corresponds to DIB utiliz)</t>
    </r>
  </si>
  <si>
    <t>Net Sawlog MBF</t>
  </si>
  <si>
    <t>Total Manufacturing Cost</t>
  </si>
  <si>
    <r>
      <rPr>
        <b/>
        <sz val="10"/>
        <rFont val="Microsoft Sans Serif"/>
        <family val="2"/>
      </rPr>
      <t>Total Selling</t>
    </r>
    <r>
      <rPr>
        <sz val="10"/>
        <rFont val="Microsoft Sans Serif"/>
        <family val="2"/>
      </rPr>
      <t xml:space="preserve"> </t>
    </r>
    <r>
      <rPr>
        <b/>
        <sz val="10"/>
        <rFont val="Microsoft Sans Serif"/>
        <family val="2"/>
      </rPr>
      <t>Value</t>
    </r>
    <r>
      <rPr>
        <sz val="10"/>
        <rFont val="Microsoft Sans Serif"/>
        <family val="2"/>
      </rPr>
      <t xml:space="preserve"> (domestic + export)</t>
    </r>
  </si>
  <si>
    <t xml:space="preserve">Conventional (cable, shov, GB) Equip Mobe from Previous Sale </t>
  </si>
  <si>
    <t>BD &amp; Road Engr Deposits (posthaul mtce, SRR, temprd closure)</t>
  </si>
  <si>
    <r>
      <t xml:space="preserve">Volume Matrix  </t>
    </r>
    <r>
      <rPr>
        <b/>
        <sz val="9"/>
        <color rgb="FFFF0000"/>
        <rFont val="Microsoft Sans Serif"/>
        <family val="2"/>
      </rPr>
      <t>(corresponds with DIB utiliz (7", or 9")</t>
    </r>
  </si>
  <si>
    <r>
      <rPr>
        <b/>
        <sz val="9"/>
        <rFont val="Microsoft Sans Serif"/>
        <family val="2"/>
      </rPr>
      <t>Export = KTN or KLW;  Domestic = KLW</t>
    </r>
    <r>
      <rPr>
        <sz val="9"/>
        <rFont val="Microsoft Sans Serif"/>
        <family val="2"/>
      </rPr>
      <t>. "Non-Klawock" export ports require S</t>
    </r>
    <r>
      <rPr>
        <b/>
        <sz val="9"/>
        <rFont val="Microsoft Sans Serif"/>
        <family val="2"/>
      </rPr>
      <t>tevedore cost input</t>
    </r>
    <r>
      <rPr>
        <sz val="9"/>
        <rFont val="Microsoft Sans Serif"/>
        <family val="2"/>
      </rPr>
      <t xml:space="preserve"> in 'NOTES cell H27</t>
    </r>
  </si>
  <si>
    <t>Need Input in 'NOTES'</t>
  </si>
  <si>
    <t>Tow RTD from GIS</t>
  </si>
  <si>
    <r>
      <t xml:space="preserve">Total </t>
    </r>
    <r>
      <rPr>
        <sz val="9"/>
        <color indexed="8"/>
        <rFont val="Microsoft Sans Serif"/>
        <family val="2"/>
      </rPr>
      <t>Rafting or Barging Cost</t>
    </r>
    <r>
      <rPr>
        <b/>
        <sz val="9"/>
        <color indexed="8"/>
        <rFont val="Microsoft Sans Serif"/>
        <family val="2"/>
      </rPr>
      <t xml:space="preserve"> + Stevedore</t>
    </r>
  </si>
  <si>
    <t>R10 Tow &amp; stevedore cost calculator</t>
  </si>
  <si>
    <r>
      <t xml:space="preserve">Non-typical  (e.g. cable swing)  </t>
    </r>
    <r>
      <rPr>
        <b/>
        <sz val="9"/>
        <rFont val="Microsoft Sans Serif"/>
        <family val="2"/>
      </rPr>
      <t>Exclude stevedore</t>
    </r>
    <r>
      <rPr>
        <sz val="9"/>
        <rFont val="Microsoft Sans Serif"/>
        <family val="2"/>
      </rPr>
      <t xml:space="preserve"> (moved to 'NOTES cell H27)</t>
    </r>
  </si>
  <si>
    <t>TOWED to Dom Appaisal Pt</t>
  </si>
  <si>
    <t>TOWED to Exp Appaisal Pt</t>
  </si>
  <si>
    <t>Input TOWED NMBF</t>
  </si>
  <si>
    <t xml:space="preserve">Input TOWED RTD (from GIS) </t>
  </si>
  <si>
    <t>Total TOW Cost by Destination</t>
  </si>
  <si>
    <t xml:space="preserve">Input Stevedore Cost for Export </t>
  </si>
  <si>
    <t>OG SS</t>
  </si>
  <si>
    <t>YG SS</t>
  </si>
  <si>
    <t>Other SS</t>
  </si>
  <si>
    <t>OG Spruce  NMBF</t>
  </si>
  <si>
    <t>YG Spruce NMBF</t>
  </si>
  <si>
    <r>
      <t xml:space="preserve">Enter % </t>
    </r>
    <r>
      <rPr>
        <b/>
        <sz val="9"/>
        <rFont val="Microsoft Sans Serif"/>
        <family val="2"/>
      </rPr>
      <t>OGSS</t>
    </r>
    <r>
      <rPr>
        <sz val="9"/>
        <rFont val="Microsoft Sans Serif"/>
        <family val="2"/>
      </rPr>
      <t xml:space="preserve"> </t>
    </r>
    <r>
      <rPr>
        <b/>
        <sz val="9"/>
        <rFont val="Microsoft Sans Serif"/>
        <family val="2"/>
      </rPr>
      <t>less than 18"</t>
    </r>
    <r>
      <rPr>
        <sz val="9"/>
        <rFont val="Microsoft Sans Serif"/>
        <family val="2"/>
      </rPr>
      <t xml:space="preserve"> DIB </t>
    </r>
  </si>
  <si>
    <t>098  098Y</t>
  </si>
  <si>
    <t>Export nmbf</t>
  </si>
  <si>
    <t>OG SS 18.0+ DIB sawlog</t>
  </si>
  <si>
    <t>OG SS &lt;18.0 DIB sawlog</t>
  </si>
  <si>
    <t>YG SS all DIB sawlog</t>
  </si>
  <si>
    <t>Hem all DIB sawlog</t>
  </si>
  <si>
    <t>AYC all DIB sawlog</t>
  </si>
  <si>
    <t>WRC all DIB sawlog</t>
  </si>
  <si>
    <t>% of Total NMBF</t>
  </si>
  <si>
    <t xml:space="preserve">% of Total Cost </t>
  </si>
  <si>
    <t xml:space="preserve"> N/A  for ayc-only</t>
  </si>
  <si>
    <t>May 15, 2022-</t>
  </si>
  <si>
    <t>Point of Contact</t>
  </si>
  <si>
    <t>1)  Account for TOW cost differences (Maximum Domestic vs Maximum Export);</t>
  </si>
  <si>
    <r>
      <t>←</t>
    </r>
    <r>
      <rPr>
        <b/>
        <sz val="9"/>
        <rFont val="Microsoft Sans Serif"/>
        <family val="2"/>
      </rPr>
      <t xml:space="preserve"> OG</t>
    </r>
    <r>
      <rPr>
        <sz val="9"/>
        <rFont val="Microsoft Sans Serif"/>
        <family val="2"/>
      </rPr>
      <t>SS&lt;1</t>
    </r>
    <r>
      <rPr>
        <b/>
        <sz val="9"/>
        <rFont val="Microsoft Sans Serif"/>
        <family val="2"/>
      </rPr>
      <t>8</t>
    </r>
    <r>
      <rPr>
        <sz val="9"/>
        <rFont val="Microsoft Sans Serif"/>
        <family val="2"/>
      </rPr>
      <t xml:space="preserve">  </t>
    </r>
    <r>
      <rPr>
        <b/>
        <sz val="9"/>
        <rFont val="Microsoft Sans Serif"/>
        <family val="2"/>
      </rPr>
      <t>7-Yr Avg</t>
    </r>
    <r>
      <rPr>
        <sz val="9"/>
        <rFont val="Microsoft Sans Serif"/>
        <family val="2"/>
      </rPr>
      <t xml:space="preserve"> = 26% of Total OG SS saw</t>
    </r>
  </si>
  <si>
    <t xml:space="preserve">3) In 'OG units' tab, minimized number of logging systems (3)  </t>
  </si>
  <si>
    <t>2)  Separate SS categories (OGSS18+, OGSS&lt;18, YGSS) per R10 FSM 2431 (minimum rates $10 OGSS; $2 YGSS) on '2400-17'.</t>
  </si>
  <si>
    <t>Changes needed throughout FASTR to:</t>
  </si>
  <si>
    <r>
      <rPr>
        <b/>
        <sz val="9"/>
        <color rgb="FF000000"/>
        <rFont val="Microsoft Sans Serif"/>
        <family val="2"/>
      </rPr>
      <t>OG</t>
    </r>
    <r>
      <rPr>
        <sz val="9"/>
        <color indexed="8"/>
        <rFont val="Microsoft Sans Serif"/>
        <family val="2"/>
      </rPr>
      <t xml:space="preserve"> NET Sawlog MBF  per piece (32 ft. avg log)</t>
    </r>
  </si>
  <si>
    <t>Updated selling values in 'BY21 Update' tab.</t>
  </si>
  <si>
    <t xml:space="preserve">September 30, 2013  -   Intro and OG tab provide OG cruise scaling defect by District. </t>
  </si>
  <si>
    <t xml:space="preserve">February 5, 2020 -  </t>
  </si>
  <si>
    <t xml:space="preserve">November 4, 2020 -  </t>
  </si>
  <si>
    <t>November 1, 2021-</t>
  </si>
  <si>
    <t>November 10, 2022-</t>
  </si>
  <si>
    <r>
      <t>YG species % of Total OG</t>
    </r>
    <r>
      <rPr>
        <sz val="9"/>
        <color rgb="FFFF0000"/>
        <rFont val="MS Sans Serif"/>
      </rPr>
      <t xml:space="preserve"> NET Sawlog</t>
    </r>
    <r>
      <rPr>
        <sz val="9"/>
        <rFont val="MS Sans Serif"/>
      </rPr>
      <t xml:space="preserve"> </t>
    </r>
    <r>
      <rPr>
        <sz val="9"/>
        <color rgb="FFFF0000"/>
        <rFont val="MS Sans Serif"/>
      </rPr>
      <t>MBF</t>
    </r>
    <r>
      <rPr>
        <sz val="9"/>
        <rFont val="MS Sans Serif"/>
      </rPr>
      <t xml:space="preserve"> removed </t>
    </r>
  </si>
  <si>
    <t>13.  Heli 
Acres</t>
  </si>
  <si>
    <t>11.  Cable CC Acres</t>
  </si>
  <si>
    <t>14.  Cable cc NMBF</t>
  </si>
  <si>
    <t>15.  Shov cc NMBF</t>
  </si>
  <si>
    <t>16.  Heli 
NMBF</t>
  </si>
  <si>
    <t>9.  Cable CC Acres</t>
  </si>
  <si>
    <t>10.  Cable PC Acres</t>
  </si>
  <si>
    <t>12.  GB PC
Acres</t>
  </si>
  <si>
    <t>15.  Cable pc NMBF</t>
  </si>
  <si>
    <t>16.  GB cc NMBF</t>
  </si>
  <si>
    <t>17.  GB pc NMBF</t>
  </si>
  <si>
    <t>13.  YG Heli
Acres</t>
  </si>
  <si>
    <t>18.  Heli 
NMBF</t>
  </si>
  <si>
    <t>OG SS 
18.0+ DIB</t>
  </si>
  <si>
    <t>Enter any analyst notes below:</t>
  </si>
  <si>
    <t xml:space="preserve">NEPA Alt </t>
  </si>
  <si>
    <t xml:space="preserve">Project </t>
  </si>
  <si>
    <r>
      <t xml:space="preserve">Total Rafting or Barging Cost + </t>
    </r>
    <r>
      <rPr>
        <b/>
        <sz val="10"/>
        <rFont val="Microsoft Sans Serif"/>
        <family val="2"/>
      </rPr>
      <t>Stevedore</t>
    </r>
  </si>
  <si>
    <r>
      <t xml:space="preserve">Rafting or Barging Cost + </t>
    </r>
    <r>
      <rPr>
        <b/>
        <sz val="10"/>
        <rFont val="Microsoft Sans Serif"/>
        <family val="2"/>
      </rPr>
      <t>Stevedore</t>
    </r>
  </si>
  <si>
    <r>
      <t>Rafting or Barging Cost +</t>
    </r>
    <r>
      <rPr>
        <b/>
        <sz val="10"/>
        <rFont val="Microsoft Sans Serif"/>
        <family val="2"/>
      </rPr>
      <t xml:space="preserve"> Stevedore</t>
    </r>
  </si>
  <si>
    <t>2)  Maximum Log Export 
Estimated Residual Value</t>
  </si>
  <si>
    <t>1)  Maximum Domestic Alaska Mfg 
Estimated Residual Value</t>
  </si>
  <si>
    <t>Total Rafting or Barging + Stevedore Data Entry from OFFICIAL R10 Logging Cost Calculator</t>
  </si>
  <si>
    <t xml:space="preserve">$600 for prebunch volume &amp; 7" dib top;  add $65/nmbf for volume with no prebunch.  </t>
  </si>
  <si>
    <t xml:space="preserve"> BY23 = IF(B2&gt;65,65755/(-0.02152*G2+229.719)*(0.0085*B2+0.4552),65755/(-0.02152*G2+229.719))*D2</t>
  </si>
  <si>
    <t>mobe-demobe (added in D53 Total Cost)</t>
  </si>
  <si>
    <t>heli fell &amp; buck $/MBF (added in D53 Total Cost)</t>
  </si>
  <si>
    <t>Updated selling values (2024 Q1) and costs (Base Year 2023).</t>
  </si>
  <si>
    <t>July 31, 2024-</t>
  </si>
  <si>
    <t>In 'NEPA SUMMARY' tab, removed table calculating Project Generated Jobs and Income in Alaska, which is now maintained by Regional Economist.</t>
  </si>
  <si>
    <t>In 'NEPA SUMMARY' tab, updated Tongass Timber Program Administrative Costs</t>
  </si>
  <si>
    <r>
      <rPr>
        <vertAlign val="superscript"/>
        <sz val="9"/>
        <rFont val="Microsoft Sans Serif"/>
        <family val="2"/>
      </rPr>
      <t>3</t>
    </r>
    <r>
      <rPr>
        <sz val="9"/>
        <rFont val="Microsoft Sans Serif"/>
        <family val="2"/>
      </rPr>
      <t xml:space="preserve"> Regional Forester Direction for Tongass Timber Program Administrative Costs, July 30, 2024 correspondence. </t>
    </r>
  </si>
  <si>
    <t>In 'InputPg1' tab, updated young growth helicopter cost for pre-bunched volume.</t>
  </si>
  <si>
    <t>In 'LoggingCosts' tab, switched the order of OG Cable and OG Shovel costs to match RV Logging Costs tab and for consistency with the order of YG logging costs on 'InputPg1' tab.</t>
  </si>
  <si>
    <t>Updated 'LoggingCosts' tab to show Tow costs when equal in Maximum Log Export and Maximum Domestic Alaska Mfg scenarios.</t>
  </si>
  <si>
    <t>Updated selling values (2025 Q3) and costs (Base Year 2024).</t>
  </si>
  <si>
    <t>2025 Q3</t>
  </si>
  <si>
    <t xml:space="preserve"> BY24 = IF(B2&gt;65,66537/(-0.02152*G2+229.719)*(0.0085*B2+0.4552),66537/(-0.02152*G2+229.719))*D2</t>
  </si>
  <si>
    <t>Base Year 2024 and Quarterly Update</t>
  </si>
  <si>
    <t>BY2024 avg Sawn SV MBF LS fob AK, includes By-Product value</t>
  </si>
  <si>
    <t xml:space="preserve">BY2024 avg Export  SV MBF LS fas AK </t>
  </si>
  <si>
    <r>
      <t xml:space="preserve">BY2024 avg </t>
    </r>
    <r>
      <rPr>
        <b/>
        <sz val="10"/>
        <rFont val="Microsoft Sans Serif"/>
        <family val="2"/>
      </rPr>
      <t>Sawn Mfg Cost</t>
    </r>
    <r>
      <rPr>
        <sz val="10"/>
        <rFont val="Microsoft Sans Serif"/>
        <family val="2"/>
      </rPr>
      <t xml:space="preserve"> MBF LS</t>
    </r>
    <r>
      <rPr>
        <b/>
        <sz val="10"/>
        <color rgb="FF0066FF"/>
        <rFont val="Microsoft Sans Serif"/>
        <family val="2"/>
      </rPr>
      <t xml:space="preserve"> </t>
    </r>
  </si>
  <si>
    <r>
      <t xml:space="preserve">BY2024 avg </t>
    </r>
    <r>
      <rPr>
        <b/>
        <sz val="10"/>
        <rFont val="Microsoft Sans Serif"/>
        <family val="2"/>
      </rPr>
      <t xml:space="preserve">Export Mfg Cost </t>
    </r>
    <r>
      <rPr>
        <sz val="10"/>
        <rFont val="Microsoft Sans Serif"/>
        <family val="2"/>
      </rPr>
      <t xml:space="preserve">MBF LS </t>
    </r>
  </si>
  <si>
    <t>2025-Q3 Update Factor Sawn SV</t>
  </si>
  <si>
    <t>2025-Q3 Update Factor Export SV</t>
  </si>
  <si>
    <r>
      <rPr>
        <b/>
        <sz val="10"/>
        <rFont val="Microsoft Sans Serif"/>
        <family val="2"/>
      </rPr>
      <t>2025-Q3</t>
    </r>
    <r>
      <rPr>
        <sz val="10"/>
        <rFont val="Microsoft Sans Serif"/>
        <family val="2"/>
      </rPr>
      <t xml:space="preserve"> avg </t>
    </r>
    <r>
      <rPr>
        <b/>
        <sz val="10"/>
        <rFont val="Microsoft Sans Serif"/>
        <family val="2"/>
      </rPr>
      <t xml:space="preserve">Sawn SV </t>
    </r>
    <r>
      <rPr>
        <sz val="10"/>
        <rFont val="Microsoft Sans Serif"/>
        <family val="2"/>
      </rPr>
      <t>MBF LS fob AK, includes By-Product value</t>
    </r>
  </si>
  <si>
    <r>
      <t xml:space="preserve">2025-Q3 </t>
    </r>
    <r>
      <rPr>
        <sz val="10"/>
        <rFont val="Microsoft Sans Serif"/>
        <family val="2"/>
      </rPr>
      <t xml:space="preserve">avg </t>
    </r>
    <r>
      <rPr>
        <b/>
        <sz val="10"/>
        <rFont val="Microsoft Sans Serif"/>
        <family val="2"/>
      </rPr>
      <t>Export SV</t>
    </r>
    <r>
      <rPr>
        <sz val="10"/>
        <rFont val="Microsoft Sans Serif"/>
        <family val="2"/>
      </rPr>
      <t xml:space="preserve"> MBF LS fas AK (HemLT20; SSLT18)</t>
    </r>
  </si>
  <si>
    <r>
      <rPr>
        <b/>
        <i/>
        <sz val="9"/>
        <rFont val="Microsoft Sans Serif"/>
        <family val="2"/>
      </rPr>
      <t xml:space="preserve">Sawn= </t>
    </r>
    <r>
      <rPr>
        <i/>
        <sz val="9"/>
        <rFont val="Microsoft Sans Serif"/>
        <family val="2"/>
      </rPr>
      <t xml:space="preserve">domestic processing within State of Alaska; </t>
    </r>
    <r>
      <rPr>
        <b/>
        <i/>
        <sz val="9"/>
        <rFont val="Microsoft Sans Serif"/>
        <family val="2"/>
      </rPr>
      <t xml:space="preserve">Export= </t>
    </r>
    <r>
      <rPr>
        <i/>
        <sz val="9"/>
        <rFont val="Microsoft Sans Serif"/>
        <family val="2"/>
      </rPr>
      <t xml:space="preserve">round-logs exported outside of Alaska;  </t>
    </r>
    <r>
      <rPr>
        <b/>
        <i/>
        <sz val="9"/>
        <rFont val="Microsoft Sans Serif"/>
        <family val="2"/>
      </rPr>
      <t>DIB</t>
    </r>
    <r>
      <rPr>
        <i/>
        <sz val="9"/>
        <rFont val="Microsoft Sans Serif"/>
        <family val="2"/>
      </rPr>
      <t xml:space="preserve">= diameter inside bark, small end of log;  </t>
    </r>
    <r>
      <rPr>
        <b/>
        <i/>
        <sz val="9"/>
        <rFont val="Microsoft Sans Serif"/>
        <family val="2"/>
      </rPr>
      <t>SV</t>
    </r>
    <r>
      <rPr>
        <i/>
        <sz val="9"/>
        <rFont val="Microsoft Sans Serif"/>
        <family val="2"/>
      </rPr>
      <t>= Selling Value;</t>
    </r>
  </si>
  <si>
    <r>
      <rPr>
        <b/>
        <i/>
        <sz val="9"/>
        <rFont val="Microsoft Sans Serif"/>
        <family val="2"/>
      </rPr>
      <t>LS</t>
    </r>
    <r>
      <rPr>
        <i/>
        <sz val="9"/>
        <rFont val="Microsoft Sans Serif"/>
        <family val="2"/>
      </rPr>
      <t xml:space="preserve">= Log Scale; </t>
    </r>
    <r>
      <rPr>
        <b/>
        <i/>
        <sz val="9"/>
        <rFont val="Microsoft Sans Serif"/>
        <family val="2"/>
      </rPr>
      <t>fob AK</t>
    </r>
    <r>
      <rPr>
        <i/>
        <sz val="9"/>
        <rFont val="Microsoft Sans Serif"/>
        <family val="2"/>
      </rPr>
      <t xml:space="preserve">= Free on board Alaska (price does not include freight outside of Alaska);  </t>
    </r>
    <r>
      <rPr>
        <b/>
        <i/>
        <sz val="9"/>
        <rFont val="Microsoft Sans Serif"/>
        <family val="2"/>
      </rPr>
      <t>fas AK=</t>
    </r>
    <r>
      <rPr>
        <i/>
        <sz val="9"/>
        <rFont val="Microsoft Sans Serif"/>
        <family val="2"/>
      </rPr>
      <t xml:space="preserve"> Free alongside ship Alaska (price does not include freight outside AK); </t>
    </r>
  </si>
  <si>
    <r>
      <rPr>
        <b/>
        <i/>
        <sz val="9"/>
        <rFont val="Microsoft Sans Serif"/>
        <family val="2"/>
      </rPr>
      <t xml:space="preserve">Effective P&amp;R </t>
    </r>
    <r>
      <rPr>
        <i/>
        <sz val="9"/>
        <rFont val="Microsoft Sans Serif"/>
        <family val="2"/>
      </rPr>
      <t>(Profit &amp; Risk)</t>
    </r>
    <r>
      <rPr>
        <b/>
        <i/>
        <sz val="9"/>
        <rFont val="Microsoft Sans Serif"/>
        <family val="2"/>
      </rPr>
      <t xml:space="preserve"> =</t>
    </r>
    <r>
      <rPr>
        <i/>
        <sz val="9"/>
        <rFont val="Microsoft Sans Serif"/>
        <family val="2"/>
      </rPr>
      <t xml:space="preserve"> %P&amp;R/ (1+%P&amp;R)  used to prevent profit on profit calculation</t>
    </r>
  </si>
  <si>
    <t>RO approval required for changest to utilization requirements</t>
  </si>
  <si>
    <t>* FM SV igain from 9" DIB utilization</t>
  </si>
  <si>
    <t>* Domestic SV gain from 9" DIB utilization</t>
  </si>
  <si>
    <t>FM 9"  DIB value gain</t>
  </si>
  <si>
    <t>Export</t>
  </si>
  <si>
    <r>
      <t xml:space="preserve">AVG &amp; TOTAL </t>
    </r>
    <r>
      <rPr>
        <i/>
        <sz val="10"/>
        <rFont val="Microsoft Sans Serif"/>
        <family val="2"/>
      </rPr>
      <t xml:space="preserve">Export </t>
    </r>
    <r>
      <rPr>
        <sz val="10"/>
        <rFont val="Microsoft Sans Serif"/>
        <family val="2"/>
      </rPr>
      <t>Value Gain (9" DIB)</t>
    </r>
  </si>
  <si>
    <t>Domestic</t>
  </si>
  <si>
    <r>
      <t xml:space="preserve">AVG &amp; TOTAL </t>
    </r>
    <r>
      <rPr>
        <i/>
        <sz val="10"/>
        <rFont val="Microsoft Sans Serif"/>
        <family val="2"/>
      </rPr>
      <t xml:space="preserve">Domestic </t>
    </r>
    <r>
      <rPr>
        <sz val="10"/>
        <rFont val="Microsoft Sans Serif"/>
        <family val="2"/>
      </rPr>
      <t>Value Gain (9" DIB)</t>
    </r>
  </si>
  <si>
    <t>% dom</t>
  </si>
  <si>
    <t>fob AK</t>
  </si>
  <si>
    <t>avg dom value 7" DIB</t>
  </si>
  <si>
    <t>avg dom value 9" 
DIB</t>
  </si>
  <si>
    <t>dom NMBF</t>
  </si>
  <si>
    <t>dom 9"  DIB value gain</t>
  </si>
  <si>
    <t>* FM SV gain from 9" DIB utilization</t>
  </si>
  <si>
    <t>In 'Project SV mfg' tab, added domestic SV gain for 9" DIB utilization change</t>
  </si>
  <si>
    <t>**Note: If Tow Cost + Stevedore Cost (if applicable) are not equal for Max Domestic AK Manufacturing and Max Log Export, $/MBF is only displayed on Estimate1 &amp; Estimate2 tabs.**</t>
  </si>
  <si>
    <t xml:space="preserve"> BY2024 Logging Costs</t>
  </si>
  <si>
    <r>
      <rPr>
        <b/>
        <sz val="12"/>
        <rFont val="Microsoft Sans Serif"/>
        <family val="2"/>
      </rPr>
      <t>Introduction   -</t>
    </r>
    <r>
      <rPr>
        <b/>
        <sz val="10"/>
        <rFont val="Microsoft Sans Serif"/>
        <family val="2"/>
      </rPr>
      <t xml:space="preserve">    </t>
    </r>
    <r>
      <rPr>
        <b/>
        <sz val="12"/>
        <rFont val="Microsoft Sans Serif"/>
        <family val="2"/>
      </rPr>
      <t xml:space="preserve">FASTR (Financial Analysis Spreadsheet Tool- RV)   v011426 </t>
    </r>
    <r>
      <rPr>
        <b/>
        <sz val="10"/>
        <rFont val="Microsoft Sans Serif"/>
        <family val="2"/>
      </rPr>
      <t xml:space="preserve">                                                                </t>
    </r>
    <r>
      <rPr>
        <sz val="10"/>
        <rFont val="Microsoft Sans Serif"/>
        <family val="2"/>
      </rPr>
      <t xml:space="preserve">Contact:    daniel.oleary@usda.gov </t>
    </r>
  </si>
  <si>
    <t>January 14, 2026-</t>
  </si>
  <si>
    <t>R10  Financial Analysis Spreadsheet Tool - RV  v011426</t>
  </si>
  <si>
    <t>R10  2025 Q3   FASTR   -   v011426</t>
  </si>
  <si>
    <t>Gate 1 &amp; 2   NEPA  Financial Analysis Summary  -  FASTR v011426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</si>
</sst>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0.0000"/>
    <numFmt numFmtId="167" formatCode="_(&quot;$&quot;* #,##0_);_(&quot;$&quot;* \(#,##0\);_(&quot;$&quot;* &quot;-&quot;??_);_(@_)"/>
    <numFmt numFmtId="168" formatCode="_(* #,##0_);_(* \(#,##0\);_(* &quot;-&quot;??_);_(@_)"/>
    <numFmt numFmtId="169" formatCode="&quot;$&quot;#,##0"/>
    <numFmt numFmtId="170" formatCode=";;;"/>
    <numFmt numFmtId="171" formatCode="#,##0.000"/>
    <numFmt numFmtId="172" formatCode="mm/dd/yy;@"/>
    <numFmt numFmtId="173" formatCode="&quot;$&quot;#,##0.00"/>
    <numFmt numFmtId="174" formatCode="0.0"/>
    <numFmt numFmtId="175" formatCode="0.000%"/>
  </numFmts>
  <fonts count="9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b/>
      <sz val="10"/>
      <name val="MS Sans Serif"/>
      <family val="2"/>
    </font>
    <font>
      <b/>
      <sz val="8.5"/>
      <color indexed="10"/>
      <name val="MS Sans Serif"/>
      <family val="2"/>
    </font>
    <font>
      <sz val="8.5"/>
      <name val="MS Sans Serif"/>
      <family val="2"/>
    </font>
    <font>
      <b/>
      <sz val="8.5"/>
      <name val="MS Sans Serif"/>
      <family val="2"/>
    </font>
    <font>
      <sz val="8"/>
      <color indexed="81"/>
      <name val="Tahoma"/>
      <family val="2"/>
    </font>
    <font>
      <b/>
      <sz val="8"/>
      <color indexed="81"/>
      <name val="Tahoma"/>
      <family val="2"/>
    </font>
    <font>
      <i/>
      <sz val="8.5"/>
      <name val="MS Sans Serif"/>
      <family val="2"/>
    </font>
    <font>
      <sz val="8"/>
      <name val="MS Sans Serif"/>
      <family val="2"/>
    </font>
    <font>
      <sz val="9"/>
      <name val="MS Sans Serif"/>
      <family val="2"/>
    </font>
    <font>
      <sz val="10"/>
      <color rgb="FF0033CC"/>
      <name val="MS Sans Serif"/>
      <family val="2"/>
    </font>
    <font>
      <b/>
      <sz val="9"/>
      <name val="MS Sans Serif"/>
      <family val="2"/>
    </font>
    <font>
      <b/>
      <sz val="10"/>
      <color rgb="FFFF0000"/>
      <name val="MS Sans Serif"/>
      <family val="2"/>
    </font>
    <font>
      <b/>
      <sz val="8.5"/>
      <color rgb="FFFF0000"/>
      <name val="MS Sans Serif"/>
      <family val="2"/>
    </font>
    <font>
      <sz val="10"/>
      <name val="Arial"/>
      <family val="2"/>
    </font>
    <font>
      <sz val="10"/>
      <name val="Arial"/>
      <family val="2"/>
    </font>
    <font>
      <sz val="9"/>
      <name val="Arial"/>
      <family val="2"/>
    </font>
    <font>
      <b/>
      <sz val="9"/>
      <name val="Arial"/>
      <family val="2"/>
    </font>
    <font>
      <b/>
      <sz val="9"/>
      <color indexed="81"/>
      <name val="Tahoma"/>
      <family val="2"/>
    </font>
    <font>
      <sz val="9"/>
      <color indexed="81"/>
      <name val="Tahoma"/>
      <family val="2"/>
    </font>
    <font>
      <b/>
      <sz val="9"/>
      <color indexed="10"/>
      <name val="Arial"/>
      <family val="2"/>
    </font>
    <font>
      <b/>
      <sz val="9"/>
      <color indexed="10"/>
      <name val="MS Sans Serif"/>
      <family val="2"/>
    </font>
    <font>
      <sz val="9"/>
      <name val="MS Sans Serif"/>
    </font>
    <font>
      <b/>
      <sz val="12"/>
      <color theme="1"/>
      <name val="Times New Roman"/>
      <family val="1"/>
    </font>
    <font>
      <sz val="8.5"/>
      <name val="Arial"/>
      <family val="2"/>
    </font>
    <font>
      <b/>
      <sz val="10"/>
      <name val="MS Sans Serif"/>
    </font>
    <font>
      <b/>
      <sz val="9"/>
      <name val="MS Sans Serif"/>
    </font>
    <font>
      <b/>
      <sz val="9"/>
      <color rgb="FFFF0000"/>
      <name val="MS Sans Serif"/>
      <family val="2"/>
    </font>
    <font>
      <sz val="9"/>
      <color rgb="FFFF0000"/>
      <name val="MS Sans Serif"/>
    </font>
    <font>
      <b/>
      <sz val="9"/>
      <color rgb="FFFF0000"/>
      <name val="MS Sans Serif"/>
    </font>
    <font>
      <i/>
      <sz val="9"/>
      <name val="MS Sans Serif"/>
      <family val="2"/>
    </font>
    <font>
      <b/>
      <sz val="10"/>
      <name val="Microsoft Sans Serif"/>
      <family val="2"/>
    </font>
    <font>
      <b/>
      <sz val="12"/>
      <name val="Microsoft Sans Serif"/>
      <family val="2"/>
    </font>
    <font>
      <sz val="10"/>
      <name val="Microsoft Sans Serif"/>
      <family val="2"/>
    </font>
    <font>
      <sz val="10"/>
      <color rgb="FF0070C0"/>
      <name val="Microsoft Sans Serif"/>
      <family val="2"/>
    </font>
    <font>
      <sz val="10"/>
      <color rgb="FFFF0000"/>
      <name val="Microsoft Sans Serif"/>
      <family val="2"/>
    </font>
    <font>
      <b/>
      <sz val="10"/>
      <color rgb="FFFF0000"/>
      <name val="Microsoft Sans Serif"/>
      <family val="2"/>
    </font>
    <font>
      <b/>
      <sz val="10"/>
      <color rgb="FF0000FF"/>
      <name val="Microsoft Sans Serif"/>
      <family val="2"/>
    </font>
    <font>
      <b/>
      <sz val="9"/>
      <name val="Microsoft Sans Serif"/>
      <family val="2"/>
    </font>
    <font>
      <sz val="8.5"/>
      <name val="Microsoft Sans Serif"/>
      <family val="2"/>
    </font>
    <font>
      <sz val="9"/>
      <name val="Microsoft Sans Serif"/>
      <family val="2"/>
    </font>
    <font>
      <sz val="9"/>
      <color theme="1"/>
      <name val="Microsoft Sans Serif"/>
      <family val="2"/>
    </font>
    <font>
      <b/>
      <sz val="9"/>
      <color rgb="FF0000FF"/>
      <name val="Microsoft Sans Serif"/>
      <family val="2"/>
    </font>
    <font>
      <sz val="9"/>
      <color rgb="FF0000FF"/>
      <name val="Microsoft Sans Serif"/>
      <family val="2"/>
    </font>
    <font>
      <b/>
      <sz val="9"/>
      <color rgb="FF0033CC"/>
      <name val="Microsoft Sans Serif"/>
      <family val="2"/>
    </font>
    <font>
      <sz val="9"/>
      <color rgb="FF0033CC"/>
      <name val="Microsoft Sans Serif"/>
      <family val="2"/>
    </font>
    <font>
      <b/>
      <sz val="9"/>
      <color indexed="8"/>
      <name val="Microsoft Sans Serif"/>
      <family val="2"/>
    </font>
    <font>
      <b/>
      <sz val="8.5"/>
      <name val="Microsoft Sans Serif"/>
      <family val="2"/>
    </font>
    <font>
      <b/>
      <sz val="10"/>
      <color indexed="8"/>
      <name val="Microsoft Sans Serif"/>
      <family val="2"/>
    </font>
    <font>
      <sz val="9"/>
      <color indexed="8"/>
      <name val="Microsoft Sans Serif"/>
      <family val="2"/>
    </font>
    <font>
      <sz val="8"/>
      <name val="Microsoft Sans Serif"/>
      <family val="2"/>
    </font>
    <font>
      <b/>
      <sz val="10"/>
      <color rgb="FF0033CC"/>
      <name val="Microsoft Sans Serif"/>
      <family val="2"/>
    </font>
    <font>
      <sz val="10"/>
      <color rgb="FF0033CC"/>
      <name val="Microsoft Sans Serif"/>
      <family val="2"/>
    </font>
    <font>
      <b/>
      <sz val="9"/>
      <color rgb="FFFF0000"/>
      <name val="Microsoft Sans Serif"/>
      <family val="2"/>
    </font>
    <font>
      <i/>
      <sz val="9"/>
      <color rgb="FF0033CC"/>
      <name val="Microsoft Sans Serif"/>
      <family val="2"/>
    </font>
    <font>
      <i/>
      <sz val="9"/>
      <name val="Microsoft Sans Serif"/>
      <family val="2"/>
    </font>
    <font>
      <sz val="10"/>
      <color indexed="8"/>
      <name val="Microsoft Sans Serif"/>
      <family val="2"/>
    </font>
    <font>
      <b/>
      <sz val="8"/>
      <name val="Microsoft Sans Serif"/>
      <family val="2"/>
    </font>
    <font>
      <sz val="11"/>
      <name val="Microsoft Sans Serif"/>
      <family val="2"/>
    </font>
    <font>
      <b/>
      <sz val="10"/>
      <color indexed="10"/>
      <name val="Microsoft Sans Serif"/>
      <family val="2"/>
    </font>
    <font>
      <b/>
      <sz val="9"/>
      <color indexed="10"/>
      <name val="Microsoft Sans Serif"/>
      <family val="2"/>
    </font>
    <font>
      <b/>
      <sz val="10"/>
      <color rgb="FF0066FF"/>
      <name val="Microsoft Sans Serif"/>
      <family val="2"/>
    </font>
    <font>
      <sz val="7"/>
      <name val="Microsoft Sans Serif"/>
      <family val="2"/>
    </font>
    <font>
      <sz val="10"/>
      <color theme="1"/>
      <name val="Microsoft Sans Serif"/>
      <family val="2"/>
    </font>
    <font>
      <i/>
      <sz val="8"/>
      <name val="Microsoft Sans Serif"/>
      <family val="2"/>
    </font>
    <font>
      <sz val="11"/>
      <color theme="1"/>
      <name val="Microsoft Sans Serif"/>
      <family val="2"/>
    </font>
    <font>
      <b/>
      <sz val="12"/>
      <color theme="1"/>
      <name val="Microsoft Sans Serif"/>
      <family val="2"/>
    </font>
    <font>
      <b/>
      <i/>
      <sz val="14"/>
      <name val="Microsoft Sans Serif"/>
      <family val="2"/>
    </font>
    <font>
      <b/>
      <sz val="14"/>
      <name val="Microsoft Sans Serif"/>
      <family val="2"/>
    </font>
    <font>
      <b/>
      <sz val="11"/>
      <name val="Microsoft Sans Serif"/>
      <family val="2"/>
    </font>
    <font>
      <vertAlign val="superscript"/>
      <sz val="10"/>
      <name val="Microsoft Sans Serif"/>
      <family val="2"/>
    </font>
    <font>
      <b/>
      <vertAlign val="superscript"/>
      <sz val="10"/>
      <name val="Microsoft Sans Serif"/>
      <family val="2"/>
    </font>
    <font>
      <b/>
      <sz val="12"/>
      <color rgb="FF00B050"/>
      <name val="Microsoft Sans Serif"/>
      <family val="2"/>
    </font>
    <font>
      <vertAlign val="superscript"/>
      <sz val="9"/>
      <name val="Microsoft Sans Serif"/>
      <family val="2"/>
    </font>
    <font>
      <b/>
      <sz val="9"/>
      <color rgb="FF00B050"/>
      <name val="Microsoft Sans Serif"/>
      <family val="2"/>
    </font>
    <font>
      <b/>
      <i/>
      <sz val="10"/>
      <name val="MS Sans Serif"/>
    </font>
    <font>
      <b/>
      <sz val="9"/>
      <color rgb="FF000000"/>
      <name val="Microsoft Sans Serif"/>
      <family val="2"/>
    </font>
    <font>
      <sz val="10"/>
      <name val="MS Sans Serif"/>
    </font>
    <font>
      <b/>
      <i/>
      <sz val="9"/>
      <name val="Microsoft Sans Serif"/>
      <family val="2"/>
    </font>
    <font>
      <i/>
      <sz val="11"/>
      <color theme="1"/>
      <name val="Microsoft Sans Serif"/>
      <family val="2"/>
    </font>
    <font>
      <i/>
      <sz val="10"/>
      <name val="Microsoft Sans Serif"/>
      <family val="2"/>
    </font>
  </fonts>
  <fills count="20">
    <fill>
      <patternFill patternType="none"/>
    </fill>
    <fill>
      <patternFill patternType="gray125"/>
    </fill>
    <fill>
      <patternFill patternType="solid">
        <fgColor indexed="43"/>
        <bgColor indexed="64"/>
      </patternFill>
    </fill>
    <fill>
      <patternFill patternType="gray0625"/>
    </fill>
    <fill>
      <patternFill patternType="solid">
        <fgColor them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FCC66"/>
        <bgColor indexed="64"/>
      </patternFill>
    </fill>
    <fill>
      <patternFill patternType="solid">
        <fgColor theme="8" tint="0.59999389629810485"/>
        <bgColor indexed="64"/>
      </patternFill>
    </fill>
    <fill>
      <patternFill patternType="solid">
        <fgColor rgb="FFB7DEE8"/>
        <bgColor indexed="64"/>
      </patternFill>
    </fill>
    <fill>
      <patternFill patternType="solid">
        <fgColor rgb="FFCCFFCC"/>
        <bgColor indexed="64"/>
      </patternFill>
    </fill>
    <fill>
      <patternFill patternType="solid">
        <fgColor rgb="FFFFC000"/>
        <bgColor indexed="64"/>
      </patternFill>
    </fill>
    <fill>
      <patternFill patternType="solid">
        <fgColor rgb="FFDDDDDD"/>
        <bgColor indexed="64"/>
      </patternFill>
    </fill>
    <fill>
      <patternFill patternType="solid">
        <fgColor rgb="FFEAEAEA"/>
        <bgColor indexed="64"/>
      </patternFill>
    </fill>
    <fill>
      <patternFill patternType="solid">
        <fgColor theme="9" tint="0.59999389629810485"/>
        <bgColor indexed="64"/>
      </patternFill>
    </fill>
  </fills>
  <borders count="3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62">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4" fontId="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23" fillId="0" borderId="0"/>
    <xf numFmtId="0" fontId="24" fillId="0" borderId="0"/>
    <xf numFmtId="0" fontId="24" fillId="0" borderId="0"/>
    <xf numFmtId="0" fontId="24" fillId="0" borderId="0"/>
    <xf numFmtId="0" fontId="23" fillId="0" borderId="0"/>
    <xf numFmtId="0" fontId="7" fillId="0" borderId="0"/>
    <xf numFmtId="9" fontId="23" fillId="0" borderId="0" applyFont="0" applyFill="0" applyBorder="0" applyAlignment="0" applyProtection="0"/>
    <xf numFmtId="9" fontId="7" fillId="0" borderId="0" applyFont="0" applyFill="0" applyBorder="0" applyAlignment="0" applyProtection="0"/>
    <xf numFmtId="44" fontId="9" fillId="0" borderId="0" applyFont="0" applyFill="0" applyBorder="0" applyAlignment="0" applyProtection="0"/>
    <xf numFmtId="0" fontId="23" fillId="0" borderId="0"/>
    <xf numFmtId="43" fontId="7" fillId="0" borderId="0" applyFont="0" applyFill="0" applyBorder="0" applyAlignment="0" applyProtection="0"/>
    <xf numFmtId="0" fontId="6" fillId="0" borderId="0"/>
    <xf numFmtId="9" fontId="6"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9"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44" fontId="3" fillId="0" borderId="0" applyFont="0" applyFill="0" applyBorder="0" applyAlignment="0" applyProtection="0"/>
    <xf numFmtId="0" fontId="23" fillId="0" borderId="0"/>
    <xf numFmtId="0" fontId="23" fillId="0" borderId="0"/>
    <xf numFmtId="0" fontId="2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4" fontId="9" fillId="0" borderId="0" applyFont="0" applyFill="0" applyBorder="0" applyAlignment="0" applyProtection="0"/>
    <xf numFmtId="0" fontId="32" fillId="0" borderId="0">
      <alignment horizontal="center" vertical="center" wrapText="1"/>
    </xf>
    <xf numFmtId="0" fontId="1" fillId="0" borderId="0"/>
    <xf numFmtId="9" fontId="1"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574">
    <xf numFmtId="0" fontId="0" fillId="0" borderId="0" xfId="0"/>
    <xf numFmtId="0" fontId="10" fillId="0" borderId="0" xfId="0" applyFont="1"/>
    <xf numFmtId="43" fontId="0" fillId="0" borderId="0" xfId="1" applyFont="1" applyProtection="1"/>
    <xf numFmtId="168" fontId="0" fillId="0" borderId="0" xfId="0" applyNumberFormat="1"/>
    <xf numFmtId="0" fontId="11" fillId="0" borderId="0" xfId="0" applyFont="1"/>
    <xf numFmtId="0" fontId="12" fillId="0" borderId="0" xfId="0" applyFont="1"/>
    <xf numFmtId="1" fontId="0" fillId="0" borderId="0" xfId="0" applyNumberFormat="1"/>
    <xf numFmtId="0" fontId="10" fillId="0" borderId="0" xfId="0" applyFont="1" applyAlignment="1">
      <alignment horizontal="right"/>
    </xf>
    <xf numFmtId="0" fontId="9" fillId="0" borderId="0" xfId="0" applyFont="1"/>
    <xf numFmtId="0" fontId="16" fillId="0" borderId="0" xfId="0" applyFont="1"/>
    <xf numFmtId="0" fontId="18" fillId="0" borderId="0" xfId="0" applyFont="1"/>
    <xf numFmtId="2" fontId="0" fillId="0" borderId="0" xfId="0" applyNumberFormat="1"/>
    <xf numFmtId="43" fontId="0" fillId="0" borderId="0" xfId="0" applyNumberFormat="1"/>
    <xf numFmtId="0" fontId="13" fillId="0" borderId="0" xfId="0" applyFont="1" applyAlignment="1">
      <alignment wrapText="1"/>
    </xf>
    <xf numFmtId="0" fontId="12" fillId="0" borderId="0" xfId="0" applyFont="1" applyAlignment="1">
      <alignment horizontal="right"/>
    </xf>
    <xf numFmtId="0" fontId="0" fillId="0" borderId="24" xfId="0" applyBorder="1" applyProtection="1">
      <protection locked="0"/>
    </xf>
    <xf numFmtId="2" fontId="12" fillId="0" borderId="0" xfId="0" applyNumberFormat="1" applyFont="1" applyAlignment="1">
      <alignment horizontal="center"/>
    </xf>
    <xf numFmtId="0" fontId="13" fillId="0" borderId="0" xfId="0" applyFont="1" applyAlignment="1">
      <alignment horizontal="center"/>
    </xf>
    <xf numFmtId="0" fontId="23" fillId="0" borderId="0" xfId="4" applyFont="1"/>
    <xf numFmtId="44" fontId="0" fillId="0" borderId="0" xfId="0" applyNumberFormat="1"/>
    <xf numFmtId="42" fontId="19" fillId="0" borderId="0" xfId="2" applyNumberFormat="1" applyFont="1" applyFill="1" applyBorder="1" applyProtection="1"/>
    <xf numFmtId="0" fontId="29" fillId="0" borderId="0" xfId="0" applyFont="1"/>
    <xf numFmtId="0" fontId="30" fillId="0" borderId="0" xfId="0" applyFont="1"/>
    <xf numFmtId="0" fontId="25" fillId="0" borderId="0" xfId="0" applyFont="1"/>
    <xf numFmtId="173" fontId="25" fillId="0" borderId="0" xfId="0" applyNumberFormat="1" applyFont="1"/>
    <xf numFmtId="0" fontId="25" fillId="0" borderId="0" xfId="0" applyFont="1" applyAlignment="1">
      <alignment wrapText="1"/>
    </xf>
    <xf numFmtId="0" fontId="9" fillId="0" borderId="0" xfId="4"/>
    <xf numFmtId="0" fontId="2" fillId="0" borderId="0" xfId="6" applyFont="1"/>
    <xf numFmtId="0" fontId="33" fillId="0" borderId="0" xfId="0" applyFont="1"/>
    <xf numFmtId="175" fontId="25" fillId="0" borderId="0" xfId="3" applyNumberFormat="1" applyFont="1" applyFill="1" applyProtection="1"/>
    <xf numFmtId="0" fontId="26" fillId="0" borderId="20" xfId="0" applyFont="1" applyBorder="1" applyAlignment="1">
      <alignment wrapText="1"/>
    </xf>
    <xf numFmtId="6" fontId="25" fillId="0" borderId="20" xfId="0" applyNumberFormat="1" applyFont="1" applyBorder="1"/>
    <xf numFmtId="5" fontId="25" fillId="0" borderId="20" xfId="0" applyNumberFormat="1" applyFont="1" applyBorder="1"/>
    <xf numFmtId="164" fontId="0" fillId="0" borderId="0" xfId="0" applyNumberFormat="1"/>
    <xf numFmtId="2" fontId="10" fillId="0" borderId="0" xfId="0" applyNumberFormat="1" applyFont="1"/>
    <xf numFmtId="0" fontId="9" fillId="0" borderId="0" xfId="0" applyFont="1" applyAlignment="1">
      <alignment horizontal="center"/>
    </xf>
    <xf numFmtId="0" fontId="10" fillId="0" borderId="0" xfId="0" applyFont="1" applyAlignment="1">
      <alignment wrapText="1"/>
    </xf>
    <xf numFmtId="0" fontId="9" fillId="0" borderId="0" xfId="0" applyFont="1" applyAlignment="1">
      <alignment horizontal="center" wrapText="1"/>
    </xf>
    <xf numFmtId="0" fontId="0" fillId="0" borderId="0" xfId="0" applyAlignment="1">
      <alignment horizontal="center"/>
    </xf>
    <xf numFmtId="2" fontId="13" fillId="0" borderId="0" xfId="0" applyNumberFormat="1" applyFont="1" applyAlignment="1">
      <alignment wrapText="1"/>
    </xf>
    <xf numFmtId="172" fontId="0" fillId="0" borderId="0" xfId="0" applyNumberFormat="1" applyAlignment="1">
      <alignment horizontal="center"/>
    </xf>
    <xf numFmtId="0" fontId="22" fillId="0" borderId="0" xfId="0" applyFont="1"/>
    <xf numFmtId="0" fontId="22" fillId="0" borderId="0" xfId="0" applyFont="1" applyAlignment="1">
      <alignment wrapText="1"/>
    </xf>
    <xf numFmtId="164" fontId="21" fillId="0" borderId="0" xfId="0" applyNumberFormat="1" applyFont="1" applyAlignment="1">
      <alignment horizontal="center"/>
    </xf>
    <xf numFmtId="0" fontId="9" fillId="0" borderId="20" xfId="0" applyFont="1" applyBorder="1" applyAlignment="1">
      <alignment horizontal="right"/>
    </xf>
    <xf numFmtId="10" fontId="0" fillId="5" borderId="20" xfId="3" applyNumberFormat="1" applyFont="1" applyFill="1" applyBorder="1" applyProtection="1"/>
    <xf numFmtId="0" fontId="9" fillId="0" borderId="22" xfId="0" applyFont="1" applyBorder="1" applyAlignment="1">
      <alignment horizontal="right"/>
    </xf>
    <xf numFmtId="10" fontId="0" fillId="5" borderId="21" xfId="3" applyNumberFormat="1" applyFont="1" applyFill="1" applyBorder="1" applyProtection="1"/>
    <xf numFmtId="2" fontId="9" fillId="8" borderId="20" xfId="0" applyNumberFormat="1" applyFont="1" applyFill="1" applyBorder="1"/>
    <xf numFmtId="9" fontId="12" fillId="0" borderId="0" xfId="0" applyNumberFormat="1" applyFont="1" applyAlignment="1">
      <alignment horizontal="center"/>
    </xf>
    <xf numFmtId="164" fontId="22" fillId="0" borderId="0" xfId="0" applyNumberFormat="1" applyFont="1"/>
    <xf numFmtId="3" fontId="12" fillId="0" borderId="0" xfId="0" applyNumberFormat="1" applyFont="1"/>
    <xf numFmtId="42" fontId="12" fillId="0" borderId="0" xfId="0" applyNumberFormat="1" applyFont="1"/>
    <xf numFmtId="2" fontId="12" fillId="0" borderId="0" xfId="0" applyNumberFormat="1" applyFont="1" applyAlignment="1">
      <alignment horizontal="center" vertical="center"/>
    </xf>
    <xf numFmtId="0" fontId="12" fillId="0" borderId="0" xfId="0" quotePrefix="1" applyFont="1"/>
    <xf numFmtId="0" fontId="0" fillId="0" borderId="0" xfId="0" applyAlignment="1">
      <alignment horizontal="left"/>
    </xf>
    <xf numFmtId="0" fontId="9" fillId="0" borderId="0" xfId="4" applyProtection="1">
      <protection locked="0"/>
    </xf>
    <xf numFmtId="0" fontId="10" fillId="0" borderId="0" xfId="0" applyFont="1" applyAlignment="1">
      <alignment horizontal="center"/>
    </xf>
    <xf numFmtId="0" fontId="34" fillId="0" borderId="0" xfId="0" applyFont="1"/>
    <xf numFmtId="2" fontId="10" fillId="0" borderId="0" xfId="0" applyNumberFormat="1" applyFont="1" applyAlignment="1">
      <alignment horizontal="right"/>
    </xf>
    <xf numFmtId="10" fontId="0" fillId="5" borderId="19" xfId="3" applyNumberFormat="1" applyFont="1" applyFill="1" applyBorder="1" applyProtection="1"/>
    <xf numFmtId="0" fontId="13" fillId="0" borderId="0" xfId="0" applyFont="1" applyAlignment="1">
      <alignment horizontal="right" wrapText="1"/>
    </xf>
    <xf numFmtId="2" fontId="13" fillId="0" borderId="0" xfId="0" applyNumberFormat="1" applyFont="1" applyAlignment="1">
      <alignment horizontal="right" wrapText="1"/>
    </xf>
    <xf numFmtId="2" fontId="10" fillId="0" borderId="0" xfId="0" applyNumberFormat="1" applyFont="1" applyAlignment="1">
      <alignment horizontal="center"/>
    </xf>
    <xf numFmtId="0" fontId="0" fillId="0" borderId="0" xfId="0" applyAlignment="1" applyProtection="1">
      <alignment horizontal="left"/>
      <protection locked="0"/>
    </xf>
    <xf numFmtId="0" fontId="31" fillId="0" borderId="20" xfId="0" applyFont="1" applyBorder="1" applyAlignment="1">
      <alignment horizontal="left" wrapText="1"/>
    </xf>
    <xf numFmtId="0" fontId="20" fillId="0" borderId="0" xfId="0" applyFont="1" applyAlignment="1">
      <alignment horizontal="right"/>
    </xf>
    <xf numFmtId="0" fontId="36" fillId="0" borderId="0" xfId="0" applyFont="1" applyAlignment="1">
      <alignment vertical="center"/>
    </xf>
    <xf numFmtId="0" fontId="35" fillId="0" borderId="20" xfId="0" applyFont="1" applyBorder="1" applyAlignment="1">
      <alignment horizontal="center" wrapText="1"/>
    </xf>
    <xf numFmtId="0" fontId="31" fillId="10" borderId="20" xfId="0" applyFont="1" applyFill="1" applyBorder="1" applyAlignment="1">
      <alignment horizontal="center" wrapText="1"/>
    </xf>
    <xf numFmtId="2" fontId="31" fillId="10" borderId="20" xfId="0" applyNumberFormat="1" applyFont="1" applyFill="1" applyBorder="1"/>
    <xf numFmtId="174" fontId="31" fillId="10" borderId="20" xfId="0" applyNumberFormat="1" applyFont="1" applyFill="1" applyBorder="1"/>
    <xf numFmtId="174" fontId="35" fillId="4" borderId="30" xfId="0" applyNumberFormat="1" applyFont="1" applyFill="1" applyBorder="1"/>
    <xf numFmtId="2" fontId="35" fillId="4" borderId="24" xfId="0" applyNumberFormat="1" applyFont="1" applyFill="1" applyBorder="1"/>
    <xf numFmtId="2" fontId="35" fillId="4" borderId="20" xfId="0" applyNumberFormat="1" applyFont="1" applyFill="1" applyBorder="1"/>
    <xf numFmtId="2" fontId="35" fillId="4" borderId="19" xfId="0" applyNumberFormat="1" applyFont="1" applyFill="1" applyBorder="1"/>
    <xf numFmtId="174" fontId="35" fillId="4" borderId="20" xfId="0" applyNumberFormat="1" applyFont="1" applyFill="1" applyBorder="1"/>
    <xf numFmtId="0" fontId="35" fillId="0" borderId="20" xfId="0" applyFont="1" applyBorder="1" applyAlignment="1">
      <alignment horizontal="center"/>
    </xf>
    <xf numFmtId="0" fontId="31" fillId="0" borderId="20" xfId="0" applyFont="1" applyBorder="1" applyAlignment="1">
      <alignment horizontal="center" wrapText="1"/>
    </xf>
    <xf numFmtId="0" fontId="31" fillId="4" borderId="20" xfId="0" applyFont="1" applyFill="1" applyBorder="1" applyAlignment="1">
      <alignment horizontal="center" wrapText="1"/>
    </xf>
    <xf numFmtId="0" fontId="31" fillId="0" borderId="20" xfId="0" applyFont="1" applyBorder="1" applyAlignment="1">
      <alignment horizontal="center"/>
    </xf>
    <xf numFmtId="0" fontId="31" fillId="0" borderId="0" xfId="0" applyFont="1" applyAlignment="1">
      <alignment horizontal="center"/>
    </xf>
    <xf numFmtId="2" fontId="31" fillId="10" borderId="20" xfId="0" applyNumberFormat="1" applyFont="1" applyFill="1" applyBorder="1" applyAlignment="1">
      <alignment horizontal="center" wrapText="1"/>
    </xf>
    <xf numFmtId="174" fontId="31" fillId="10" borderId="20" xfId="4" applyNumberFormat="1" applyFont="1" applyFill="1" applyBorder="1"/>
    <xf numFmtId="2" fontId="35" fillId="4" borderId="30" xfId="0" applyNumberFormat="1" applyFont="1" applyFill="1" applyBorder="1"/>
    <xf numFmtId="174" fontId="31" fillId="0" borderId="20" xfId="0" applyNumberFormat="1" applyFont="1" applyBorder="1" applyAlignment="1">
      <alignment horizontal="center" wrapText="1"/>
    </xf>
    <xf numFmtId="0" fontId="31" fillId="0" borderId="0" xfId="0" applyFont="1" applyAlignment="1">
      <alignment horizontal="center" wrapText="1"/>
    </xf>
    <xf numFmtId="2" fontId="31" fillId="0" borderId="0" xfId="0" applyNumberFormat="1" applyFont="1" applyAlignment="1">
      <alignment horizontal="center"/>
    </xf>
    <xf numFmtId="2" fontId="31" fillId="0" borderId="0" xfId="0" applyNumberFormat="1" applyFont="1"/>
    <xf numFmtId="0" fontId="38" fillId="0" borderId="20" xfId="0" applyFont="1" applyBorder="1" applyAlignment="1">
      <alignment horizontal="center" wrapText="1"/>
    </xf>
    <xf numFmtId="0" fontId="39" fillId="0" borderId="0" xfId="0" applyFont="1"/>
    <xf numFmtId="0" fontId="34" fillId="10" borderId="20" xfId="0" applyFont="1" applyFill="1" applyBorder="1" applyAlignment="1">
      <alignment horizontal="center"/>
    </xf>
    <xf numFmtId="0" fontId="42" fillId="0" borderId="0" xfId="4" applyFont="1"/>
    <xf numFmtId="0" fontId="43" fillId="0" borderId="0" xfId="4" applyFont="1"/>
    <xf numFmtId="0" fontId="44" fillId="0" borderId="0" xfId="4" applyFont="1"/>
    <xf numFmtId="0" fontId="46" fillId="0" borderId="0" xfId="4" applyFont="1"/>
    <xf numFmtId="0" fontId="40" fillId="0" borderId="0" xfId="4" applyFont="1"/>
    <xf numFmtId="0" fontId="42" fillId="0" borderId="0" xfId="4" quotePrefix="1" applyFont="1"/>
    <xf numFmtId="0" fontId="46" fillId="0" borderId="0" xfId="4" quotePrefix="1" applyFont="1"/>
    <xf numFmtId="0" fontId="42" fillId="0" borderId="0" xfId="0" applyFont="1"/>
    <xf numFmtId="0" fontId="9" fillId="15" borderId="20" xfId="0" applyFont="1" applyFill="1" applyBorder="1" applyAlignment="1" applyProtection="1">
      <alignment horizontal="left"/>
      <protection locked="0"/>
    </xf>
    <xf numFmtId="0" fontId="9" fillId="15" borderId="25" xfId="0" applyFont="1" applyFill="1" applyBorder="1" applyAlignment="1" applyProtection="1">
      <alignment horizontal="center"/>
      <protection locked="0"/>
    </xf>
    <xf numFmtId="0" fontId="9" fillId="15" borderId="25" xfId="0" applyFont="1" applyFill="1" applyBorder="1" applyProtection="1">
      <protection locked="0"/>
    </xf>
    <xf numFmtId="0" fontId="10" fillId="15" borderId="7" xfId="4" applyFont="1" applyFill="1" applyBorder="1" applyAlignment="1" applyProtection="1">
      <alignment wrapText="1"/>
      <protection locked="0"/>
    </xf>
    <xf numFmtId="0" fontId="0" fillId="15" borderId="7" xfId="0" applyFill="1" applyBorder="1" applyProtection="1">
      <protection locked="0"/>
    </xf>
    <xf numFmtId="0" fontId="0" fillId="15" borderId="19" xfId="0" applyFill="1" applyBorder="1" applyProtection="1">
      <protection locked="0"/>
    </xf>
    <xf numFmtId="1" fontId="0" fillId="15" borderId="20" xfId="0" applyNumberFormat="1" applyFill="1" applyBorder="1" applyAlignment="1" applyProtection="1">
      <alignment horizontal="center"/>
      <protection locked="0"/>
    </xf>
    <xf numFmtId="1" fontId="31" fillId="15" borderId="20" xfId="4" applyNumberFormat="1" applyFont="1" applyFill="1" applyBorder="1" applyProtection="1">
      <protection locked="0"/>
    </xf>
    <xf numFmtId="174" fontId="31" fillId="15" borderId="20" xfId="4" applyNumberFormat="1" applyFont="1" applyFill="1" applyBorder="1" applyProtection="1">
      <protection locked="0"/>
    </xf>
    <xf numFmtId="2" fontId="31" fillId="15" borderId="20" xfId="4" applyNumberFormat="1" applyFont="1" applyFill="1" applyBorder="1" applyProtection="1">
      <protection locked="0"/>
    </xf>
    <xf numFmtId="172" fontId="0" fillId="15" borderId="20" xfId="0" applyNumberFormat="1" applyFill="1" applyBorder="1" applyAlignment="1" applyProtection="1">
      <alignment horizontal="left"/>
      <protection locked="0"/>
    </xf>
    <xf numFmtId="2" fontId="35" fillId="0" borderId="20" xfId="0" applyNumberFormat="1" applyFont="1" applyBorder="1" applyAlignment="1">
      <alignment horizontal="center"/>
    </xf>
    <xf numFmtId="164" fontId="35" fillId="4" borderId="20" xfId="3" applyNumberFormat="1" applyFont="1" applyFill="1" applyBorder="1" applyAlignment="1" applyProtection="1">
      <alignment horizontal="center"/>
    </xf>
    <xf numFmtId="0" fontId="9" fillId="15" borderId="25" xfId="4" applyFill="1" applyBorder="1" applyProtection="1">
      <protection locked="0"/>
    </xf>
    <xf numFmtId="0" fontId="10" fillId="15" borderId="7" xfId="0" applyFont="1" applyFill="1" applyBorder="1" applyAlignment="1" applyProtection="1">
      <alignment wrapText="1"/>
      <protection locked="0"/>
    </xf>
    <xf numFmtId="10" fontId="0" fillId="15" borderId="20" xfId="0" applyNumberFormat="1" applyFill="1" applyBorder="1" applyAlignment="1" applyProtection="1">
      <alignment horizontal="center"/>
      <protection locked="0"/>
    </xf>
    <xf numFmtId="9" fontId="0" fillId="15" borderId="20" xfId="0" applyNumberFormat="1" applyFill="1" applyBorder="1" applyAlignment="1" applyProtection="1">
      <alignment horizontal="center"/>
      <protection locked="0"/>
    </xf>
    <xf numFmtId="0" fontId="20" fillId="0" borderId="0" xfId="0" applyFont="1" applyAlignment="1">
      <alignment horizontal="left" wrapText="1"/>
    </xf>
    <xf numFmtId="0" fontId="40" fillId="0" borderId="35" xfId="0" applyFont="1" applyBorder="1" applyAlignment="1">
      <alignment horizontal="center"/>
    </xf>
    <xf numFmtId="0" fontId="47" fillId="0" borderId="0" xfId="0" applyFont="1" applyAlignment="1">
      <alignment wrapText="1"/>
    </xf>
    <xf numFmtId="0" fontId="48" fillId="0" borderId="0" xfId="0" applyFont="1" applyAlignment="1">
      <alignment horizontal="center" wrapText="1"/>
    </xf>
    <xf numFmtId="0" fontId="42" fillId="0" borderId="0" xfId="0" applyFont="1" applyAlignment="1">
      <alignment wrapText="1"/>
    </xf>
    <xf numFmtId="0" fontId="49" fillId="0" borderId="0" xfId="0" applyFont="1" applyAlignment="1">
      <alignment horizontal="left" vertical="center"/>
    </xf>
    <xf numFmtId="0" fontId="49" fillId="0" borderId="0" xfId="0" applyFont="1" applyAlignment="1">
      <alignment wrapText="1"/>
    </xf>
    <xf numFmtId="0" fontId="49" fillId="0" borderId="0" xfId="0" applyFont="1"/>
    <xf numFmtId="0" fontId="49" fillId="0" borderId="20" xfId="0" applyFont="1" applyBorder="1"/>
    <xf numFmtId="0" fontId="50" fillId="0" borderId="0" xfId="0" applyFont="1"/>
    <xf numFmtId="0" fontId="49" fillId="0" borderId="0" xfId="0" applyFont="1" applyAlignment="1">
      <alignment horizontal="left" vertical="center" wrapText="1"/>
    </xf>
    <xf numFmtId="0" fontId="51" fillId="0" borderId="0" xfId="0" applyFont="1"/>
    <xf numFmtId="0" fontId="52" fillId="0" borderId="0" xfId="0" applyFont="1"/>
    <xf numFmtId="0" fontId="54" fillId="0" borderId="0" xfId="0" applyFont="1"/>
    <xf numFmtId="0" fontId="47" fillId="0" borderId="0" xfId="0" applyFont="1"/>
    <xf numFmtId="0" fontId="47" fillId="12" borderId="0" xfId="0" applyFont="1" applyFill="1" applyAlignment="1">
      <alignment horizontal="left"/>
    </xf>
    <xf numFmtId="0" fontId="49" fillId="12" borderId="0" xfId="0" applyFont="1" applyFill="1"/>
    <xf numFmtId="0" fontId="47" fillId="12" borderId="0" xfId="0" applyFont="1" applyFill="1" applyAlignment="1">
      <alignment horizontal="center"/>
    </xf>
    <xf numFmtId="0" fontId="49" fillId="0" borderId="0" xfId="0" applyFont="1" applyAlignment="1">
      <alignment horizontal="center"/>
    </xf>
    <xf numFmtId="0" fontId="49" fillId="0" borderId="20" xfId="0" applyFont="1" applyBorder="1" applyAlignment="1">
      <alignment horizontal="center"/>
    </xf>
    <xf numFmtId="1" fontId="49" fillId="10" borderId="20" xfId="0" applyNumberFormat="1" applyFont="1" applyFill="1" applyBorder="1"/>
    <xf numFmtId="9" fontId="49" fillId="0" borderId="0" xfId="3" applyFont="1" applyFill="1" applyBorder="1" applyAlignment="1" applyProtection="1">
      <alignment horizontal="center"/>
    </xf>
    <xf numFmtId="9" fontId="49" fillId="10" borderId="20" xfId="3" applyFont="1" applyFill="1" applyBorder="1" applyAlignment="1" applyProtection="1">
      <alignment horizontal="center"/>
    </xf>
    <xf numFmtId="0" fontId="55" fillId="0" borderId="0" xfId="0" applyFont="1"/>
    <xf numFmtId="168" fontId="49" fillId="0" borderId="0" xfId="0" applyNumberFormat="1" applyFont="1"/>
    <xf numFmtId="0" fontId="47" fillId="0" borderId="0" xfId="0" applyFont="1" applyAlignment="1">
      <alignment horizontal="left"/>
    </xf>
    <xf numFmtId="0" fontId="49" fillId="0" borderId="0" xfId="0" quotePrefix="1" applyFont="1"/>
    <xf numFmtId="1" fontId="47" fillId="0" borderId="0" xfId="0" quotePrefix="1" applyNumberFormat="1" applyFont="1"/>
    <xf numFmtId="0" fontId="48" fillId="0" borderId="0" xfId="0" quotePrefix="1" applyFont="1"/>
    <xf numFmtId="1" fontId="56" fillId="0" borderId="0" xfId="0" quotePrefix="1" applyNumberFormat="1" applyFont="1"/>
    <xf numFmtId="0" fontId="57" fillId="0" borderId="34" xfId="0" quotePrefix="1" applyFont="1" applyBorder="1" applyAlignment="1">
      <alignment horizontal="center"/>
    </xf>
    <xf numFmtId="0" fontId="58" fillId="0" borderId="0" xfId="0" applyFont="1"/>
    <xf numFmtId="0" fontId="49" fillId="10" borderId="20" xfId="0" applyFont="1" applyFill="1" applyBorder="1" applyAlignment="1">
      <alignment horizontal="right" wrapText="1"/>
    </xf>
    <xf numFmtId="0" fontId="58" fillId="0" borderId="0" xfId="0" quotePrefix="1" applyFont="1"/>
    <xf numFmtId="0" fontId="49" fillId="10" borderId="20" xfId="0" applyFont="1" applyFill="1" applyBorder="1"/>
    <xf numFmtId="0" fontId="49" fillId="12" borderId="20" xfId="0" applyFont="1" applyFill="1" applyBorder="1" applyAlignment="1">
      <alignment horizontal="center"/>
    </xf>
    <xf numFmtId="1" fontId="49" fillId="0" borderId="0" xfId="0" applyNumberFormat="1" applyFont="1" applyAlignment="1">
      <alignment horizontal="center"/>
    </xf>
    <xf numFmtId="0" fontId="49" fillId="10" borderId="20" xfId="0" applyFont="1" applyFill="1" applyBorder="1" applyAlignment="1">
      <alignment horizontal="center"/>
    </xf>
    <xf numFmtId="174" fontId="49" fillId="10" borderId="20" xfId="0" applyNumberFormat="1" applyFont="1" applyFill="1" applyBorder="1" applyAlignment="1">
      <alignment horizontal="right"/>
    </xf>
    <xf numFmtId="1" fontId="49" fillId="0" borderId="0" xfId="0" applyNumberFormat="1" applyFont="1"/>
    <xf numFmtId="2" fontId="49" fillId="10" borderId="20" xfId="0" quotePrefix="1" applyNumberFormat="1" applyFont="1" applyFill="1" applyBorder="1" applyAlignment="1">
      <alignment horizontal="right"/>
    </xf>
    <xf numFmtId="1" fontId="51" fillId="0" borderId="0" xfId="0" applyNumberFormat="1" applyFont="1"/>
    <xf numFmtId="0" fontId="53" fillId="0" borderId="0" xfId="0" applyFont="1"/>
    <xf numFmtId="2" fontId="53" fillId="10" borderId="20" xfId="0" applyNumberFormat="1" applyFont="1" applyFill="1" applyBorder="1" applyAlignment="1">
      <alignment horizontal="right"/>
    </xf>
    <xf numFmtId="3" fontId="52" fillId="0" borderId="0" xfId="1" applyNumberFormat="1" applyFont="1" applyProtection="1"/>
    <xf numFmtId="164" fontId="53" fillId="10" borderId="20" xfId="3" quotePrefix="1" applyNumberFormat="1" applyFont="1" applyFill="1" applyBorder="1" applyAlignment="1" applyProtection="1">
      <alignment horizontal="right"/>
    </xf>
    <xf numFmtId="164" fontId="49" fillId="10" borderId="20" xfId="3" quotePrefix="1" applyNumberFormat="1" applyFont="1" applyFill="1" applyBorder="1" applyAlignment="1" applyProtection="1">
      <alignment horizontal="right"/>
    </xf>
    <xf numFmtId="2" fontId="49" fillId="10" borderId="20" xfId="0" applyNumberFormat="1" applyFont="1" applyFill="1" applyBorder="1" applyAlignment="1">
      <alignment horizontal="right"/>
    </xf>
    <xf numFmtId="2" fontId="58" fillId="10" borderId="20" xfId="0" quotePrefix="1" applyNumberFormat="1" applyFont="1" applyFill="1" applyBorder="1" applyAlignment="1">
      <alignment horizontal="right"/>
    </xf>
    <xf numFmtId="2" fontId="49" fillId="0" borderId="0" xfId="0" applyNumberFormat="1" applyFont="1"/>
    <xf numFmtId="0" fontId="53" fillId="0" borderId="0" xfId="0" quotePrefix="1" applyFont="1"/>
    <xf numFmtId="42" fontId="47" fillId="10" borderId="20" xfId="0" applyNumberFormat="1" applyFont="1" applyFill="1" applyBorder="1"/>
    <xf numFmtId="0" fontId="48" fillId="0" borderId="0" xfId="0" applyFont="1"/>
    <xf numFmtId="0" fontId="40" fillId="0" borderId="0" xfId="0" applyFont="1"/>
    <xf numFmtId="0" fontId="40" fillId="0" borderId="20" xfId="0" applyFont="1" applyBorder="1"/>
    <xf numFmtId="0" fontId="49" fillId="0" borderId="0" xfId="0" quotePrefix="1" applyFont="1" applyAlignment="1">
      <alignment horizontal="center"/>
    </xf>
    <xf numFmtId="0" fontId="49" fillId="0" borderId="32" xfId="0" applyFont="1" applyBorder="1"/>
    <xf numFmtId="0" fontId="49" fillId="0" borderId="26" xfId="0" quotePrefix="1" applyFont="1" applyBorder="1"/>
    <xf numFmtId="0" fontId="47" fillId="0" borderId="31" xfId="0" quotePrefix="1" applyFont="1" applyBorder="1"/>
    <xf numFmtId="0" fontId="47" fillId="0" borderId="20" xfId="0" applyFont="1" applyBorder="1"/>
    <xf numFmtId="0" fontId="49" fillId="0" borderId="18" xfId="0" quotePrefix="1" applyFont="1" applyBorder="1"/>
    <xf numFmtId="49" fontId="49" fillId="0" borderId="28" xfId="0" quotePrefix="1" applyNumberFormat="1" applyFont="1" applyBorder="1"/>
    <xf numFmtId="0" fontId="47" fillId="0" borderId="29" xfId="0" applyFont="1" applyBorder="1"/>
    <xf numFmtId="3" fontId="49" fillId="0" borderId="0" xfId="0" applyNumberFormat="1" applyFont="1"/>
    <xf numFmtId="0" fontId="63" fillId="0" borderId="0" xfId="0" applyFont="1"/>
    <xf numFmtId="0" fontId="64" fillId="0" borderId="0" xfId="0" applyFont="1"/>
    <xf numFmtId="9" fontId="63" fillId="2" borderId="0" xfId="0" applyNumberFormat="1" applyFont="1" applyFill="1"/>
    <xf numFmtId="9" fontId="64" fillId="2" borderId="0" xfId="0" applyNumberFormat="1" applyFont="1" applyFill="1"/>
    <xf numFmtId="0" fontId="20" fillId="15" borderId="20" xfId="0" applyFont="1" applyFill="1" applyBorder="1" applyAlignment="1">
      <alignment horizontal="center" wrapText="1"/>
    </xf>
    <xf numFmtId="0" fontId="49" fillId="15" borderId="20" xfId="0" applyFont="1" applyFill="1" applyBorder="1" applyAlignment="1" applyProtection="1">
      <alignment horizontal="right"/>
      <protection locked="0"/>
    </xf>
    <xf numFmtId="49" fontId="49" fillId="15" borderId="20" xfId="0" applyNumberFormat="1" applyFont="1" applyFill="1" applyBorder="1" applyAlignment="1" applyProtection="1">
      <alignment horizontal="right"/>
      <protection locked="0"/>
    </xf>
    <xf numFmtId="0" fontId="49" fillId="15" borderId="20" xfId="0" applyFont="1" applyFill="1" applyBorder="1" applyAlignment="1" applyProtection="1">
      <alignment horizontal="right" vertical="center" wrapText="1"/>
      <protection locked="0"/>
    </xf>
    <xf numFmtId="165" fontId="58" fillId="15" borderId="20" xfId="0" applyNumberFormat="1" applyFont="1" applyFill="1" applyBorder="1" applyAlignment="1" applyProtection="1">
      <alignment horizontal="right"/>
      <protection locked="0"/>
    </xf>
    <xf numFmtId="0" fontId="49" fillId="15" borderId="20" xfId="0" quotePrefix="1" applyFont="1" applyFill="1" applyBorder="1" applyAlignment="1" applyProtection="1">
      <alignment horizontal="right"/>
      <protection locked="0"/>
    </xf>
    <xf numFmtId="169" fontId="49" fillId="15" borderId="20" xfId="2" applyNumberFormat="1" applyFont="1" applyFill="1" applyBorder="1" applyAlignment="1" applyProtection="1">
      <alignment horizontal="right"/>
      <protection locked="0"/>
    </xf>
    <xf numFmtId="169" fontId="54" fillId="15" borderId="20" xfId="2" applyNumberFormat="1" applyFont="1" applyFill="1" applyBorder="1" applyAlignment="1" applyProtection="1">
      <alignment horizontal="right"/>
      <protection locked="0"/>
    </xf>
    <xf numFmtId="169" fontId="49" fillId="15" borderId="20" xfId="2" quotePrefix="1" applyNumberFormat="1" applyFont="1" applyFill="1" applyBorder="1" applyAlignment="1" applyProtection="1">
      <alignment horizontal="right"/>
      <protection locked="0"/>
    </xf>
    <xf numFmtId="169" fontId="49" fillId="15" borderId="20" xfId="0" applyNumberFormat="1" applyFont="1" applyFill="1" applyBorder="1" applyAlignment="1" applyProtection="1">
      <alignment horizontal="right"/>
      <protection locked="0"/>
    </xf>
    <xf numFmtId="39" fontId="49" fillId="15" borderId="20" xfId="0" applyNumberFormat="1" applyFont="1" applyFill="1" applyBorder="1" applyAlignment="1" applyProtection="1">
      <alignment horizontal="right"/>
      <protection locked="0"/>
    </xf>
    <xf numFmtId="5" fontId="49" fillId="15" borderId="20" xfId="0" applyNumberFormat="1" applyFont="1" applyFill="1" applyBorder="1" applyAlignment="1" applyProtection="1">
      <alignment horizontal="right"/>
      <protection locked="0"/>
    </xf>
    <xf numFmtId="0" fontId="40" fillId="0" borderId="1" xfId="0" applyFont="1" applyBorder="1" applyAlignment="1">
      <alignment horizontal="center" wrapText="1"/>
    </xf>
    <xf numFmtId="0" fontId="57" fillId="0" borderId="2" xfId="0" applyFont="1" applyBorder="1" applyAlignment="1">
      <alignment horizontal="center" wrapText="1"/>
    </xf>
    <xf numFmtId="0" fontId="40" fillId="0" borderId="2" xfId="0" applyFont="1" applyBorder="1" applyAlignment="1">
      <alignment horizontal="center" wrapText="1"/>
    </xf>
    <xf numFmtId="2" fontId="42" fillId="15" borderId="20" xfId="0" applyNumberFormat="1" applyFont="1" applyFill="1" applyBorder="1" applyProtection="1">
      <protection locked="0"/>
    </xf>
    <xf numFmtId="0" fontId="42" fillId="15" borderId="20" xfId="0" applyFont="1" applyFill="1" applyBorder="1" applyProtection="1">
      <protection locked="0"/>
    </xf>
    <xf numFmtId="2" fontId="42" fillId="15" borderId="22" xfId="0" applyNumberFormat="1" applyFont="1" applyFill="1" applyBorder="1" applyProtection="1">
      <protection locked="0"/>
    </xf>
    <xf numFmtId="0" fontId="42" fillId="3" borderId="9" xfId="0" applyFont="1" applyFill="1" applyBorder="1" applyAlignment="1">
      <alignment horizontal="left"/>
    </xf>
    <xf numFmtId="0" fontId="42" fillId="3" borderId="10" xfId="0" applyFont="1" applyFill="1" applyBorder="1"/>
    <xf numFmtId="43" fontId="40" fillId="10" borderId="5" xfId="1" applyFont="1" applyFill="1" applyBorder="1" applyProtection="1"/>
    <xf numFmtId="0" fontId="57" fillId="0" borderId="9" xfId="0" applyFont="1" applyBorder="1"/>
    <xf numFmtId="0" fontId="42" fillId="0" borderId="11" xfId="0" applyFont="1" applyBorder="1"/>
    <xf numFmtId="0" fontId="42" fillId="3" borderId="12" xfId="0" applyFont="1" applyFill="1" applyBorder="1" applyAlignment="1">
      <alignment horizontal="left"/>
    </xf>
    <xf numFmtId="0" fontId="42" fillId="3" borderId="0" xfId="0" applyFont="1" applyFill="1"/>
    <xf numFmtId="44" fontId="40" fillId="10" borderId="8" xfId="2" applyFont="1" applyFill="1" applyBorder="1" applyProtection="1"/>
    <xf numFmtId="0" fontId="40" fillId="0" borderId="12" xfId="0" applyFont="1" applyBorder="1"/>
    <xf numFmtId="0" fontId="42" fillId="0" borderId="13" xfId="0" applyFont="1" applyBorder="1"/>
    <xf numFmtId="0" fontId="40" fillId="3" borderId="12" xfId="0" applyFont="1" applyFill="1" applyBorder="1" applyAlignment="1">
      <alignment horizontal="left"/>
    </xf>
    <xf numFmtId="0" fontId="40" fillId="3" borderId="0" xfId="0" applyFont="1" applyFill="1"/>
    <xf numFmtId="0" fontId="57" fillId="0" borderId="12" xfId="0" applyFont="1" applyBorder="1"/>
    <xf numFmtId="0" fontId="40" fillId="3" borderId="14" xfId="0" applyFont="1" applyFill="1" applyBorder="1" applyAlignment="1">
      <alignment horizontal="left"/>
    </xf>
    <xf numFmtId="0" fontId="40" fillId="3" borderId="15" xfId="0" applyFont="1" applyFill="1" applyBorder="1"/>
    <xf numFmtId="1" fontId="40" fillId="10" borderId="36" xfId="0" applyNumberFormat="1" applyFont="1" applyFill="1" applyBorder="1"/>
    <xf numFmtId="0" fontId="40" fillId="0" borderId="14" xfId="0" applyFont="1" applyBorder="1"/>
    <xf numFmtId="0" fontId="40" fillId="0" borderId="16" xfId="0" applyFont="1" applyBorder="1"/>
    <xf numFmtId="0" fontId="40" fillId="2" borderId="4" xfId="0" applyFont="1" applyFill="1" applyBorder="1" applyAlignment="1">
      <alignment horizontal="center" wrapText="1"/>
    </xf>
    <xf numFmtId="0" fontId="40" fillId="0" borderId="4" xfId="0" applyFont="1" applyBorder="1" applyAlignment="1">
      <alignment horizontal="center" wrapText="1"/>
    </xf>
    <xf numFmtId="0" fontId="40" fillId="0" borderId="5" xfId="0" applyFont="1" applyBorder="1" applyAlignment="1">
      <alignment horizontal="center" wrapText="1"/>
    </xf>
    <xf numFmtId="1" fontId="42" fillId="0" borderId="6" xfId="0" applyNumberFormat="1" applyFont="1" applyBorder="1"/>
    <xf numFmtId="167" fontId="42" fillId="0" borderId="7" xfId="9" applyNumberFormat="1" applyFont="1" applyBorder="1" applyProtection="1"/>
    <xf numFmtId="167" fontId="42" fillId="0" borderId="7" xfId="2" applyNumberFormat="1" applyFont="1" applyBorder="1" applyProtection="1"/>
    <xf numFmtId="1" fontId="42" fillId="0" borderId="8" xfId="0" applyNumberFormat="1" applyFont="1" applyBorder="1"/>
    <xf numFmtId="167" fontId="42" fillId="0" borderId="0" xfId="2" applyNumberFormat="1" applyFont="1" applyFill="1" applyBorder="1" applyProtection="1"/>
    <xf numFmtId="167" fontId="42" fillId="0" borderId="0" xfId="9" applyNumberFormat="1" applyFont="1" applyFill="1" applyBorder="1" applyProtection="1">
      <protection hidden="1"/>
    </xf>
    <xf numFmtId="167" fontId="42" fillId="0" borderId="0" xfId="9" applyNumberFormat="1" applyFont="1" applyProtection="1"/>
    <xf numFmtId="167" fontId="42" fillId="0" borderId="0" xfId="2" applyNumberFormat="1" applyFont="1" applyProtection="1"/>
    <xf numFmtId="1" fontId="40" fillId="0" borderId="0" xfId="0" applyNumberFormat="1" applyFont="1"/>
    <xf numFmtId="44" fontId="42" fillId="0" borderId="0" xfId="2" applyFont="1" applyFill="1" applyBorder="1" applyProtection="1"/>
    <xf numFmtId="167" fontId="40" fillId="0" borderId="0" xfId="2" applyNumberFormat="1" applyFont="1" applyBorder="1" applyProtection="1"/>
    <xf numFmtId="0" fontId="40" fillId="0" borderId="3" xfId="0" applyFont="1" applyBorder="1" applyAlignment="1">
      <alignment horizontal="center" wrapText="1"/>
    </xf>
    <xf numFmtId="0" fontId="42" fillId="0" borderId="0" xfId="4" applyFont="1" applyProtection="1">
      <protection locked="0"/>
    </xf>
    <xf numFmtId="0" fontId="40" fillId="15" borderId="20" xfId="4" applyFont="1" applyFill="1" applyBorder="1" applyAlignment="1" applyProtection="1">
      <alignment horizontal="center"/>
      <protection locked="0"/>
    </xf>
    <xf numFmtId="0" fontId="57" fillId="0" borderId="0" xfId="0" applyFont="1"/>
    <xf numFmtId="0" fontId="40" fillId="0" borderId="20" xfId="0" applyFont="1" applyBorder="1" applyAlignment="1">
      <alignment horizontal="center"/>
    </xf>
    <xf numFmtId="0" fontId="68" fillId="0" borderId="20" xfId="0" applyFont="1" applyBorder="1"/>
    <xf numFmtId="0" fontId="69" fillId="0" borderId="0" xfId="0" applyFont="1"/>
    <xf numFmtId="0" fontId="42" fillId="0" borderId="20" xfId="0" quotePrefix="1" applyFont="1" applyBorder="1"/>
    <xf numFmtId="0" fontId="40" fillId="8" borderId="22" xfId="0" quotePrefix="1" applyFont="1" applyFill="1" applyBorder="1" applyAlignment="1">
      <alignment horizontal="center"/>
    </xf>
    <xf numFmtId="0" fontId="40" fillId="8" borderId="22" xfId="0" applyFont="1" applyFill="1" applyBorder="1" applyAlignment="1">
      <alignment horizontal="center"/>
    </xf>
    <xf numFmtId="0" fontId="59" fillId="0" borderId="0" xfId="0" applyFont="1"/>
    <xf numFmtId="0" fontId="42" fillId="0" borderId="20" xfId="0" applyFont="1" applyBorder="1"/>
    <xf numFmtId="173" fontId="40" fillId="0" borderId="20" xfId="0" applyNumberFormat="1" applyFont="1" applyBorder="1" applyAlignment="1">
      <alignment horizontal="center"/>
    </xf>
    <xf numFmtId="170" fontId="40" fillId="8" borderId="20" xfId="0" applyNumberFormat="1" applyFont="1" applyFill="1" applyBorder="1" applyAlignment="1">
      <alignment horizontal="center"/>
    </xf>
    <xf numFmtId="7" fontId="42" fillId="8" borderId="20" xfId="0" applyNumberFormat="1" applyFont="1" applyFill="1" applyBorder="1" applyAlignment="1">
      <alignment horizontal="center"/>
    </xf>
    <xf numFmtId="7" fontId="42" fillId="0" borderId="20" xfId="0" applyNumberFormat="1" applyFont="1" applyBorder="1" applyAlignment="1">
      <alignment horizontal="center"/>
    </xf>
    <xf numFmtId="170" fontId="42" fillId="8" borderId="20" xfId="0" applyNumberFormat="1" applyFont="1" applyFill="1" applyBorder="1" applyAlignment="1">
      <alignment horizontal="center"/>
    </xf>
    <xf numFmtId="8" fontId="42" fillId="0" borderId="20" xfId="0" applyNumberFormat="1" applyFont="1" applyBorder="1" applyAlignment="1">
      <alignment horizontal="center"/>
    </xf>
    <xf numFmtId="165" fontId="49" fillId="0" borderId="0" xfId="0" applyNumberFormat="1" applyFont="1"/>
    <xf numFmtId="0" fontId="49" fillId="0" borderId="0" xfId="0" applyFont="1" applyAlignment="1">
      <alignment horizontal="left"/>
    </xf>
    <xf numFmtId="0" fontId="71" fillId="0" borderId="0" xfId="0" applyFont="1"/>
    <xf numFmtId="9" fontId="72" fillId="10" borderId="20" xfId="0" quotePrefix="1" applyNumberFormat="1" applyFont="1" applyFill="1" applyBorder="1" applyAlignment="1">
      <alignment horizontal="center"/>
    </xf>
    <xf numFmtId="170" fontId="72" fillId="8" borderId="20" xfId="0" quotePrefix="1" applyNumberFormat="1" applyFont="1" applyFill="1" applyBorder="1" applyAlignment="1">
      <alignment horizontal="center"/>
    </xf>
    <xf numFmtId="164" fontId="42" fillId="8" borderId="20" xfId="5" applyNumberFormat="1" applyFont="1" applyFill="1" applyBorder="1" applyAlignment="1" applyProtection="1">
      <alignment horizontal="center"/>
    </xf>
    <xf numFmtId="167" fontId="47" fillId="0" borderId="0" xfId="2" applyNumberFormat="1" applyFont="1" applyFill="1" applyBorder="1" applyProtection="1"/>
    <xf numFmtId="10" fontId="42" fillId="0" borderId="20" xfId="5" quotePrefix="1" applyNumberFormat="1" applyFont="1" applyFill="1" applyBorder="1" applyAlignment="1" applyProtection="1">
      <alignment horizontal="center"/>
    </xf>
    <xf numFmtId="9" fontId="53" fillId="0" borderId="0" xfId="3" applyFont="1" applyFill="1" applyBorder="1" applyProtection="1"/>
    <xf numFmtId="9" fontId="47" fillId="0" borderId="0" xfId="3" applyFont="1" applyFill="1" applyBorder="1" applyProtection="1"/>
    <xf numFmtId="7" fontId="49" fillId="0" borderId="0" xfId="0" applyNumberFormat="1" applyFont="1"/>
    <xf numFmtId="0" fontId="73" fillId="0" borderId="0" xfId="0" applyFont="1"/>
    <xf numFmtId="0" fontId="47" fillId="0" borderId="0" xfId="0" applyFont="1" applyAlignment="1">
      <alignment horizontal="center"/>
    </xf>
    <xf numFmtId="2" fontId="42" fillId="0" borderId="0" xfId="0" applyNumberFormat="1" applyFont="1"/>
    <xf numFmtId="44" fontId="47" fillId="0" borderId="0" xfId="0" applyNumberFormat="1" applyFont="1"/>
    <xf numFmtId="44" fontId="49" fillId="0" borderId="0" xfId="0" applyNumberFormat="1" applyFont="1"/>
    <xf numFmtId="0" fontId="56" fillId="0" borderId="20" xfId="0" applyFont="1" applyBorder="1" applyAlignment="1">
      <alignment horizontal="center" wrapText="1"/>
    </xf>
    <xf numFmtId="0" fontId="47" fillId="0" borderId="20" xfId="0" applyFont="1" applyBorder="1" applyAlignment="1">
      <alignment horizontal="center" wrapText="1"/>
    </xf>
    <xf numFmtId="0" fontId="47" fillId="0" borderId="20" xfId="0" applyFont="1" applyBorder="1" applyAlignment="1">
      <alignment wrapText="1"/>
    </xf>
    <xf numFmtId="0" fontId="47" fillId="6" borderId="20" xfId="0" applyFont="1" applyFill="1" applyBorder="1" applyAlignment="1">
      <alignment wrapText="1"/>
    </xf>
    <xf numFmtId="0" fontId="48" fillId="0" borderId="20" xfId="0" applyFont="1" applyBorder="1"/>
    <xf numFmtId="166" fontId="48" fillId="0" borderId="20" xfId="0" applyNumberFormat="1" applyFont="1" applyBorder="1"/>
    <xf numFmtId="6" fontId="49" fillId="0" borderId="20" xfId="0" applyNumberFormat="1" applyFont="1" applyBorder="1"/>
    <xf numFmtId="171" fontId="49" fillId="6" borderId="20" xfId="0" quotePrefix="1" applyNumberFormat="1" applyFont="1" applyFill="1" applyBorder="1"/>
    <xf numFmtId="165" fontId="48" fillId="0" borderId="20" xfId="0" applyNumberFormat="1" applyFont="1" applyBorder="1"/>
    <xf numFmtId="166" fontId="48" fillId="0" borderId="20" xfId="60" applyNumberFormat="1" applyFont="1" applyFill="1" applyBorder="1" applyProtection="1"/>
    <xf numFmtId="0" fontId="48" fillId="0" borderId="20" xfId="0" quotePrefix="1" applyFont="1" applyBorder="1"/>
    <xf numFmtId="5" fontId="49" fillId="0" borderId="20" xfId="0" applyNumberFormat="1" applyFont="1" applyBorder="1"/>
    <xf numFmtId="0" fontId="47" fillId="7" borderId="20" xfId="0" applyFont="1" applyFill="1" applyBorder="1" applyAlignment="1">
      <alignment wrapText="1"/>
    </xf>
    <xf numFmtId="171" fontId="49" fillId="7" borderId="20" xfId="0" quotePrefix="1" applyNumberFormat="1" applyFont="1" applyFill="1" applyBorder="1"/>
    <xf numFmtId="0" fontId="40" fillId="0" borderId="0" xfId="0" applyFont="1" applyAlignment="1">
      <alignment horizontal="center"/>
    </xf>
    <xf numFmtId="0" fontId="40" fillId="0" borderId="0" xfId="0" applyFont="1" applyAlignment="1">
      <alignment horizontal="right"/>
    </xf>
    <xf numFmtId="3" fontId="40" fillId="0" borderId="0" xfId="0" applyNumberFormat="1" applyFont="1" applyAlignment="1">
      <alignment horizontal="right"/>
    </xf>
    <xf numFmtId="3" fontId="40" fillId="10" borderId="0" xfId="0" applyNumberFormat="1" applyFont="1" applyFill="1" applyAlignment="1">
      <alignment horizontal="right"/>
    </xf>
    <xf numFmtId="0" fontId="42" fillId="0" borderId="0" xfId="0" applyFont="1" applyAlignment="1">
      <alignment horizontal="right"/>
    </xf>
    <xf numFmtId="167" fontId="40" fillId="0" borderId="0" xfId="2" applyNumberFormat="1" applyFont="1" applyAlignment="1" applyProtection="1">
      <alignment horizontal="right"/>
    </xf>
    <xf numFmtId="167" fontId="40" fillId="0" borderId="0" xfId="2" applyNumberFormat="1" applyFont="1" applyBorder="1" applyAlignment="1" applyProtection="1">
      <alignment horizontal="right"/>
    </xf>
    <xf numFmtId="0" fontId="42" fillId="0" borderId="9" xfId="0" applyFont="1" applyBorder="1"/>
    <xf numFmtId="1" fontId="42" fillId="0" borderId="10" xfId="0" applyNumberFormat="1" applyFont="1" applyBorder="1" applyAlignment="1">
      <alignment horizontal="right"/>
    </xf>
    <xf numFmtId="9" fontId="42" fillId="0" borderId="10" xfId="3" applyFont="1" applyBorder="1" applyAlignment="1">
      <alignment horizontal="right"/>
    </xf>
    <xf numFmtId="0" fontId="42" fillId="0" borderId="10" xfId="0" applyFont="1" applyBorder="1"/>
    <xf numFmtId="0" fontId="42" fillId="0" borderId="12" xfId="0" applyFont="1" applyBorder="1"/>
    <xf numFmtId="167" fontId="42" fillId="0" borderId="0" xfId="2" applyNumberFormat="1" applyFont="1" applyBorder="1" applyAlignment="1" applyProtection="1">
      <alignment horizontal="left"/>
    </xf>
    <xf numFmtId="167" fontId="42" fillId="0" borderId="0" xfId="0" applyNumberFormat="1" applyFont="1"/>
    <xf numFmtId="167" fontId="42" fillId="0" borderId="0" xfId="2" applyNumberFormat="1" applyFont="1" applyBorder="1" applyAlignment="1">
      <alignment horizontal="right"/>
    </xf>
    <xf numFmtId="167" fontId="42" fillId="0" borderId="0" xfId="2" applyNumberFormat="1" applyFont="1" applyBorder="1" applyAlignment="1" applyProtection="1">
      <alignment horizontal="right"/>
    </xf>
    <xf numFmtId="9" fontId="42" fillId="0" borderId="0" xfId="3" applyFont="1" applyBorder="1" applyAlignment="1">
      <alignment horizontal="right"/>
    </xf>
    <xf numFmtId="1" fontId="42" fillId="0" borderId="0" xfId="0" applyNumberFormat="1" applyFont="1" applyAlignment="1">
      <alignment horizontal="right"/>
    </xf>
    <xf numFmtId="1" fontId="42" fillId="0" borderId="13" xfId="1" applyNumberFormat="1" applyFont="1" applyFill="1" applyBorder="1" applyAlignment="1" applyProtection="1">
      <alignment horizontal="right"/>
    </xf>
    <xf numFmtId="9" fontId="42" fillId="0" borderId="0" xfId="3" applyFont="1" applyFill="1" applyBorder="1" applyAlignment="1">
      <alignment horizontal="right"/>
    </xf>
    <xf numFmtId="0" fontId="42" fillId="0" borderId="14" xfId="0" applyFont="1" applyBorder="1"/>
    <xf numFmtId="167" fontId="42" fillId="0" borderId="15" xfId="2" applyNumberFormat="1" applyFont="1" applyBorder="1" applyAlignment="1">
      <alignment horizontal="right"/>
    </xf>
    <xf numFmtId="167" fontId="42" fillId="0" borderId="15" xfId="2" applyNumberFormat="1" applyFont="1" applyBorder="1" applyAlignment="1" applyProtection="1">
      <alignment horizontal="right"/>
    </xf>
    <xf numFmtId="0" fontId="42" fillId="0" borderId="16" xfId="0" applyFont="1" applyBorder="1"/>
    <xf numFmtId="1" fontId="42" fillId="0" borderId="13" xfId="0" applyNumberFormat="1" applyFont="1" applyBorder="1" applyAlignment="1">
      <alignment horizontal="right"/>
    </xf>
    <xf numFmtId="9" fontId="42" fillId="0" borderId="0" xfId="0" applyNumberFormat="1" applyFont="1"/>
    <xf numFmtId="167" fontId="42" fillId="0" borderId="15" xfId="0" applyNumberFormat="1" applyFont="1" applyBorder="1"/>
    <xf numFmtId="3" fontId="42" fillId="0" borderId="0" xfId="0" applyNumberFormat="1" applyFont="1" applyAlignment="1">
      <alignment horizontal="left"/>
    </xf>
    <xf numFmtId="0" fontId="40" fillId="0" borderId="10" xfId="0" applyFont="1" applyBorder="1"/>
    <xf numFmtId="44" fontId="42" fillId="0" borderId="0" xfId="0" applyNumberFormat="1" applyFont="1"/>
    <xf numFmtId="44" fontId="42" fillId="0" borderId="0" xfId="2" applyFont="1"/>
    <xf numFmtId="0" fontId="42" fillId="0" borderId="25" xfId="0" applyFont="1" applyBorder="1"/>
    <xf numFmtId="167" fontId="72" fillId="0" borderId="7" xfId="56" applyNumberFormat="1" applyFont="1" applyFill="1" applyBorder="1"/>
    <xf numFmtId="167" fontId="72" fillId="0" borderId="19" xfId="56" applyNumberFormat="1" applyFont="1" applyFill="1" applyBorder="1"/>
    <xf numFmtId="167" fontId="72" fillId="0" borderId="0" xfId="56" applyNumberFormat="1" applyFont="1" applyFill="1" applyBorder="1"/>
    <xf numFmtId="0" fontId="72" fillId="0" borderId="0" xfId="0" applyFont="1"/>
    <xf numFmtId="0" fontId="42" fillId="4" borderId="0" xfId="0" applyFont="1" applyFill="1"/>
    <xf numFmtId="0" fontId="74" fillId="0" borderId="0" xfId="16" applyFont="1"/>
    <xf numFmtId="0" fontId="74" fillId="0" borderId="0" xfId="6" applyFont="1"/>
    <xf numFmtId="0" fontId="40" fillId="12" borderId="0" xfId="0" applyFont="1" applyFill="1"/>
    <xf numFmtId="0" fontId="67" fillId="0" borderId="0" xfId="0" applyFont="1"/>
    <xf numFmtId="0" fontId="42" fillId="0" borderId="0" xfId="6" applyFont="1"/>
    <xf numFmtId="0" fontId="42" fillId="0" borderId="0" xfId="6" applyFont="1" applyAlignment="1">
      <alignment wrapText="1"/>
    </xf>
    <xf numFmtId="0" fontId="42" fillId="11" borderId="0" xfId="6" applyFont="1" applyFill="1" applyAlignment="1">
      <alignment wrapText="1"/>
    </xf>
    <xf numFmtId="43" fontId="42" fillId="0" borderId="0" xfId="6" quotePrefix="1" applyNumberFormat="1" applyFont="1"/>
    <xf numFmtId="44" fontId="42" fillId="0" borderId="0" xfId="2" quotePrefix="1" applyFont="1"/>
    <xf numFmtId="165" fontId="42" fillId="0" borderId="0" xfId="2" applyNumberFormat="1" applyFont="1"/>
    <xf numFmtId="44" fontId="42" fillId="0" borderId="0" xfId="6" applyNumberFormat="1" applyFont="1"/>
    <xf numFmtId="167" fontId="42" fillId="11" borderId="0" xfId="2" applyNumberFormat="1" applyFont="1" applyFill="1"/>
    <xf numFmtId="44" fontId="42" fillId="0" borderId="0" xfId="2" quotePrefix="1" applyFont="1" applyFill="1"/>
    <xf numFmtId="9" fontId="42" fillId="0" borderId="0" xfId="6" quotePrefix="1" applyNumberFormat="1" applyFont="1"/>
    <xf numFmtId="44" fontId="42" fillId="0" borderId="0" xfId="2" quotePrefix="1" applyFont="1" applyBorder="1"/>
    <xf numFmtId="165" fontId="42" fillId="0" borderId="0" xfId="2" applyNumberFormat="1" applyFont="1" applyBorder="1"/>
    <xf numFmtId="44" fontId="42" fillId="0" borderId="0" xfId="2" applyFont="1" applyBorder="1"/>
    <xf numFmtId="0" fontId="42" fillId="0" borderId="33" xfId="6" applyFont="1" applyBorder="1"/>
    <xf numFmtId="44" fontId="42" fillId="0" borderId="33" xfId="2" applyFont="1" applyBorder="1"/>
    <xf numFmtId="165" fontId="42" fillId="0" borderId="33" xfId="2" applyNumberFormat="1" applyFont="1" applyBorder="1"/>
    <xf numFmtId="167" fontId="42" fillId="11" borderId="33" xfId="2" applyNumberFormat="1" applyFont="1" applyFill="1" applyBorder="1"/>
    <xf numFmtId="0" fontId="42" fillId="0" borderId="0" xfId="2" applyNumberFormat="1" applyFont="1"/>
    <xf numFmtId="167" fontId="75" fillId="11" borderId="0" xfId="6" applyNumberFormat="1" applyFont="1" applyFill="1"/>
    <xf numFmtId="0" fontId="67" fillId="0" borderId="0" xfId="6" applyFont="1"/>
    <xf numFmtId="0" fontId="40" fillId="14" borderId="0" xfId="0" applyFont="1" applyFill="1"/>
    <xf numFmtId="0" fontId="41" fillId="0" borderId="0" xfId="0" applyFont="1" applyAlignment="1">
      <alignment vertical="center" wrapText="1"/>
    </xf>
    <xf numFmtId="0" fontId="57" fillId="0" borderId="20" xfId="0" applyFont="1" applyBorder="1" applyAlignment="1">
      <alignment wrapText="1"/>
    </xf>
    <xf numFmtId="0" fontId="57" fillId="0" borderId="20" xfId="0" applyFont="1" applyBorder="1"/>
    <xf numFmtId="0" fontId="57" fillId="0" borderId="20" xfId="0" applyFont="1" applyBorder="1" applyAlignment="1">
      <alignment horizontal="left" wrapText="1"/>
    </xf>
    <xf numFmtId="1" fontId="42" fillId="10" borderId="20" xfId="1" applyNumberFormat="1" applyFont="1" applyFill="1" applyBorder="1" applyProtection="1"/>
    <xf numFmtId="167" fontId="42" fillId="10" borderId="20" xfId="0" applyNumberFormat="1" applyFont="1" applyFill="1" applyBorder="1" applyAlignment="1">
      <alignment horizontal="center"/>
    </xf>
    <xf numFmtId="44" fontId="42" fillId="10" borderId="20" xfId="0" applyNumberFormat="1" applyFont="1" applyFill="1" applyBorder="1" applyAlignment="1">
      <alignment horizontal="left"/>
    </xf>
    <xf numFmtId="167" fontId="42" fillId="10" borderId="20" xfId="2" applyNumberFormat="1" applyFont="1" applyFill="1" applyBorder="1" applyProtection="1"/>
    <xf numFmtId="44" fontId="42" fillId="10" borderId="20" xfId="2" applyFont="1" applyFill="1" applyBorder="1" applyProtection="1"/>
    <xf numFmtId="0" fontId="61" fillId="0" borderId="0" xfId="0" applyFont="1"/>
    <xf numFmtId="1" fontId="61" fillId="10" borderId="20" xfId="1" quotePrefix="1" applyNumberFormat="1" applyFont="1" applyFill="1" applyBorder="1" applyProtection="1"/>
    <xf numFmtId="167" fontId="61" fillId="10" borderId="20" xfId="2" applyNumberFormat="1" applyFont="1" applyFill="1" applyBorder="1" applyProtection="1"/>
    <xf numFmtId="44" fontId="61" fillId="10" borderId="20" xfId="2" applyFont="1" applyFill="1" applyBorder="1" applyProtection="1"/>
    <xf numFmtId="1" fontId="40" fillId="10" borderId="20" xfId="1" applyNumberFormat="1" applyFont="1" applyFill="1" applyBorder="1" applyProtection="1"/>
    <xf numFmtId="167" fontId="40" fillId="10" borderId="20" xfId="2" applyNumberFormat="1" applyFont="1" applyFill="1" applyBorder="1" applyProtection="1"/>
    <xf numFmtId="44" fontId="40" fillId="10" borderId="20" xfId="2" applyFont="1" applyFill="1" applyBorder="1" applyProtection="1"/>
    <xf numFmtId="0" fontId="60" fillId="0" borderId="0" xfId="0" applyFont="1"/>
    <xf numFmtId="1" fontId="60" fillId="10" borderId="20" xfId="1" applyNumberFormat="1" applyFont="1" applyFill="1" applyBorder="1" applyProtection="1"/>
    <xf numFmtId="167" fontId="60" fillId="10" borderId="20" xfId="2" applyNumberFormat="1" applyFont="1" applyFill="1" applyBorder="1" applyProtection="1"/>
    <xf numFmtId="44" fontId="60" fillId="10" borderId="20" xfId="2" applyFont="1" applyFill="1" applyBorder="1" applyProtection="1"/>
    <xf numFmtId="44" fontId="42" fillId="10" borderId="20" xfId="0" applyNumberFormat="1" applyFont="1" applyFill="1" applyBorder="1"/>
    <xf numFmtId="1" fontId="61" fillId="10" borderId="20" xfId="1" applyNumberFormat="1" applyFont="1" applyFill="1" applyBorder="1" applyProtection="1"/>
    <xf numFmtId="167" fontId="42" fillId="10" borderId="20" xfId="2" quotePrefix="1" applyNumberFormat="1" applyFont="1" applyFill="1" applyBorder="1" applyProtection="1"/>
    <xf numFmtId="167" fontId="40" fillId="10" borderId="20" xfId="0" applyNumberFormat="1" applyFont="1" applyFill="1" applyBorder="1"/>
    <xf numFmtId="168" fontId="42" fillId="0" borderId="0" xfId="1" applyNumberFormat="1" applyFont="1"/>
    <xf numFmtId="0" fontId="42" fillId="0" borderId="0" xfId="0" applyFont="1" applyAlignment="1">
      <alignment horizontal="center" wrapText="1"/>
    </xf>
    <xf numFmtId="0" fontId="40" fillId="12" borderId="0" xfId="0" applyFont="1" applyFill="1" applyAlignment="1">
      <alignment horizontal="center" wrapText="1"/>
    </xf>
    <xf numFmtId="0" fontId="40" fillId="0" borderId="0" xfId="0" applyFont="1" applyAlignment="1">
      <alignment horizontal="center" wrapText="1"/>
    </xf>
    <xf numFmtId="7" fontId="41" fillId="0" borderId="0" xfId="0" applyNumberFormat="1" applyFont="1" applyAlignment="1">
      <alignment horizontal="left" wrapText="1"/>
    </xf>
    <xf numFmtId="0" fontId="47" fillId="0" borderId="0" xfId="0" applyFont="1" applyAlignment="1">
      <alignment horizontal="center" wrapText="1"/>
    </xf>
    <xf numFmtId="0" fontId="40" fillId="0" borderId="0" xfId="0" applyFont="1" applyAlignment="1">
      <alignment horizontal="left" wrapText="1"/>
    </xf>
    <xf numFmtId="0" fontId="41" fillId="0" borderId="0" xfId="0" applyFont="1" applyAlignment="1">
      <alignment horizontal="center" wrapText="1"/>
    </xf>
    <xf numFmtId="9" fontId="42" fillId="0" borderId="0" xfId="3" applyFont="1" applyAlignment="1" applyProtection="1">
      <alignment horizontal="center" wrapText="1"/>
    </xf>
    <xf numFmtId="7" fontId="42" fillId="0" borderId="0" xfId="0" applyNumberFormat="1" applyFont="1" applyAlignment="1">
      <alignment horizontal="center" wrapText="1"/>
    </xf>
    <xf numFmtId="0" fontId="42" fillId="0" borderId="0" xfId="0" applyFont="1" applyAlignment="1">
      <alignment horizontal="center"/>
    </xf>
    <xf numFmtId="49" fontId="42" fillId="0" borderId="0" xfId="0" applyNumberFormat="1" applyFont="1" applyAlignment="1">
      <alignment horizontal="center"/>
    </xf>
    <xf numFmtId="2" fontId="40" fillId="0" borderId="0" xfId="1" applyNumberFormat="1" applyFont="1" applyAlignment="1" applyProtection="1">
      <alignment horizontal="center"/>
    </xf>
    <xf numFmtId="44" fontId="42" fillId="0" borderId="0" xfId="2" applyFont="1" applyFill="1" applyProtection="1"/>
    <xf numFmtId="44" fontId="40" fillId="0" borderId="0" xfId="0" applyNumberFormat="1" applyFont="1"/>
    <xf numFmtId="44" fontId="40" fillId="0" borderId="0" xfId="2" applyFont="1" applyFill="1" applyProtection="1"/>
    <xf numFmtId="44" fontId="42" fillId="0" borderId="0" xfId="2" applyFont="1" applyFill="1" applyAlignment="1" applyProtection="1">
      <alignment wrapText="1"/>
    </xf>
    <xf numFmtId="10" fontId="42" fillId="0" borderId="0" xfId="3" applyNumberFormat="1" applyFont="1" applyFill="1" applyProtection="1"/>
    <xf numFmtId="44" fontId="65" fillId="0" borderId="0" xfId="2" applyFont="1" applyFill="1" applyProtection="1"/>
    <xf numFmtId="167" fontId="42" fillId="0" borderId="0" xfId="2" applyNumberFormat="1" applyFont="1" applyFill="1" applyProtection="1"/>
    <xf numFmtId="167" fontId="40" fillId="0" borderId="0" xfId="2" applyNumberFormat="1" applyFont="1" applyFill="1" applyProtection="1"/>
    <xf numFmtId="44" fontId="42" fillId="0" borderId="0" xfId="2" applyFont="1" applyProtection="1"/>
    <xf numFmtId="167" fontId="42" fillId="12" borderId="0" xfId="2" applyNumberFormat="1" applyFont="1" applyFill="1" applyProtection="1"/>
    <xf numFmtId="167" fontId="42" fillId="12" borderId="0" xfId="2" applyNumberFormat="1" applyFont="1" applyFill="1" applyAlignment="1" applyProtection="1">
      <alignment horizontal="left"/>
    </xf>
    <xf numFmtId="0" fontId="76" fillId="12" borderId="0" xfId="0" applyFont="1" applyFill="1" applyAlignment="1">
      <alignment vertical="center"/>
    </xf>
    <xf numFmtId="0" fontId="77" fillId="12" borderId="0" xfId="0" applyFont="1" applyFill="1" applyAlignment="1">
      <alignment horizontal="left"/>
    </xf>
    <xf numFmtId="167" fontId="65" fillId="0" borderId="0" xfId="2" applyNumberFormat="1" applyFont="1" applyProtection="1"/>
    <xf numFmtId="44" fontId="40" fillId="0" borderId="0" xfId="2" applyFont="1" applyProtection="1"/>
    <xf numFmtId="167" fontId="40" fillId="0" borderId="0" xfId="0" applyNumberFormat="1" applyFont="1"/>
    <xf numFmtId="167" fontId="40" fillId="0" borderId="0" xfId="2" applyNumberFormat="1" applyFont="1" applyProtection="1"/>
    <xf numFmtId="0" fontId="45" fillId="0" borderId="0" xfId="0" applyFont="1"/>
    <xf numFmtId="167" fontId="45" fillId="0" borderId="0" xfId="2" applyNumberFormat="1" applyFont="1" applyProtection="1"/>
    <xf numFmtId="43" fontId="42" fillId="0" borderId="0" xfId="1" applyFont="1" applyProtection="1"/>
    <xf numFmtId="43" fontId="42" fillId="0" borderId="0" xfId="1" quotePrefix="1" applyFont="1" applyProtection="1"/>
    <xf numFmtId="0" fontId="78" fillId="0" borderId="0" xfId="0" applyFont="1" applyAlignment="1">
      <alignment horizontal="center" wrapText="1"/>
    </xf>
    <xf numFmtId="0" fontId="40" fillId="14" borderId="0" xfId="0" applyFont="1" applyFill="1" applyAlignment="1">
      <alignment horizontal="center" wrapText="1"/>
    </xf>
    <xf numFmtId="167" fontId="42" fillId="14" borderId="0" xfId="2" applyNumberFormat="1" applyFont="1" applyFill="1" applyProtection="1"/>
    <xf numFmtId="0" fontId="76" fillId="14" borderId="0" xfId="0" applyFont="1" applyFill="1"/>
    <xf numFmtId="0" fontId="77" fillId="14" borderId="0" xfId="0" applyFont="1" applyFill="1" applyAlignment="1">
      <alignment horizontal="left"/>
    </xf>
    <xf numFmtId="14" fontId="42" fillId="0" borderId="0" xfId="0" applyNumberFormat="1" applyFont="1" applyAlignment="1">
      <alignment horizontal="center"/>
    </xf>
    <xf numFmtId="0" fontId="42" fillId="0" borderId="0" xfId="0" applyFont="1" applyAlignment="1">
      <alignment horizontal="left"/>
    </xf>
    <xf numFmtId="3" fontId="42" fillId="10" borderId="20" xfId="0" applyNumberFormat="1" applyFont="1" applyFill="1" applyBorder="1"/>
    <xf numFmtId="164" fontId="42" fillId="0" borderId="0" xfId="3" applyNumberFormat="1" applyFont="1" applyAlignment="1" applyProtection="1">
      <alignment horizontal="center"/>
    </xf>
    <xf numFmtId="3" fontId="42" fillId="0" borderId="0" xfId="0" applyNumberFormat="1" applyFont="1"/>
    <xf numFmtId="0" fontId="40" fillId="0" borderId="0" xfId="0" applyFont="1" applyAlignment="1">
      <alignment horizontal="left"/>
    </xf>
    <xf numFmtId="0" fontId="40" fillId="14" borderId="0" xfId="0" applyFont="1" applyFill="1" applyAlignment="1">
      <alignment horizontal="center"/>
    </xf>
    <xf numFmtId="42" fontId="40" fillId="10" borderId="20" xfId="0" applyNumberFormat="1" applyFont="1" applyFill="1" applyBorder="1"/>
    <xf numFmtId="42" fontId="40" fillId="10" borderId="20" xfId="0" quotePrefix="1" applyNumberFormat="1" applyFont="1" applyFill="1" applyBorder="1"/>
    <xf numFmtId="42" fontId="42" fillId="10" borderId="20" xfId="0" applyNumberFormat="1" applyFont="1" applyFill="1" applyBorder="1"/>
    <xf numFmtId="42" fontId="40" fillId="10" borderId="22" xfId="0" applyNumberFormat="1" applyFont="1" applyFill="1" applyBorder="1"/>
    <xf numFmtId="164" fontId="42" fillId="0" borderId="0" xfId="0" applyNumberFormat="1" applyFont="1"/>
    <xf numFmtId="42" fontId="42" fillId="0" borderId="0" xfId="0" applyNumberFormat="1" applyFont="1"/>
    <xf numFmtId="42" fontId="40" fillId="0" borderId="7" xfId="0" applyNumberFormat="1" applyFont="1" applyBorder="1"/>
    <xf numFmtId="42" fontId="40" fillId="10" borderId="2" xfId="0" applyNumberFormat="1" applyFont="1" applyFill="1" applyBorder="1"/>
    <xf numFmtId="44" fontId="40" fillId="10" borderId="20" xfId="0" applyNumberFormat="1" applyFont="1" applyFill="1" applyBorder="1"/>
    <xf numFmtId="39" fontId="45" fillId="0" borderId="0" xfId="0" applyNumberFormat="1" applyFont="1" applyAlignment="1">
      <alignment horizontal="center"/>
    </xf>
    <xf numFmtId="167" fontId="45" fillId="10" borderId="20" xfId="0" applyNumberFormat="1" applyFont="1" applyFill="1" applyBorder="1"/>
    <xf numFmtId="167" fontId="45" fillId="0" borderId="0" xfId="0" applyNumberFormat="1" applyFont="1"/>
    <xf numFmtId="0" fontId="42" fillId="0" borderId="10" xfId="0" applyFont="1" applyBorder="1" applyAlignment="1">
      <alignment horizontal="center"/>
    </xf>
    <xf numFmtId="44" fontId="42" fillId="0" borderId="0" xfId="0" applyNumberFormat="1" applyFont="1" applyAlignment="1">
      <alignment wrapText="1"/>
    </xf>
    <xf numFmtId="42" fontId="42" fillId="0" borderId="13" xfId="0" applyNumberFormat="1" applyFont="1" applyBorder="1"/>
    <xf numFmtId="44" fontId="42" fillId="0" borderId="0" xfId="2" applyFont="1" applyBorder="1" applyAlignment="1" applyProtection="1">
      <alignment horizontal="center"/>
    </xf>
    <xf numFmtId="44" fontId="45" fillId="0" borderId="15" xfId="0" applyNumberFormat="1" applyFont="1" applyBorder="1"/>
    <xf numFmtId="42" fontId="45" fillId="0" borderId="16" xfId="2" applyNumberFormat="1" applyFont="1" applyFill="1" applyBorder="1" applyProtection="1"/>
    <xf numFmtId="0" fontId="40" fillId="0" borderId="0" xfId="0" applyFont="1" applyAlignment="1">
      <alignment horizontal="center" vertical="center" wrapText="1"/>
    </xf>
    <xf numFmtId="5" fontId="45" fillId="0" borderId="0" xfId="0" applyNumberFormat="1" applyFont="1" applyAlignment="1">
      <alignment horizontal="center"/>
    </xf>
    <xf numFmtId="39" fontId="40" fillId="0" borderId="0" xfId="0" applyNumberFormat="1" applyFont="1" applyAlignment="1">
      <alignment horizontal="center"/>
    </xf>
    <xf numFmtId="0" fontId="42" fillId="0" borderId="0" xfId="0" applyFont="1" applyAlignment="1">
      <alignment horizontal="center" vertical="center" wrapText="1"/>
    </xf>
    <xf numFmtId="0" fontId="40" fillId="10" borderId="20" xfId="0" applyFont="1" applyFill="1" applyBorder="1" applyAlignment="1">
      <alignment horizontal="center" wrapText="1"/>
    </xf>
    <xf numFmtId="172" fontId="40" fillId="10" borderId="20" xfId="0" applyNumberFormat="1" applyFont="1" applyFill="1" applyBorder="1" applyAlignment="1">
      <alignment horizontal="center" wrapText="1"/>
    </xf>
    <xf numFmtId="0" fontId="49" fillId="13" borderId="0" xfId="0" applyFont="1" applyFill="1"/>
    <xf numFmtId="0" fontId="77" fillId="0" borderId="0" xfId="0" applyFont="1"/>
    <xf numFmtId="0" fontId="34" fillId="0" borderId="0" xfId="0" applyFont="1" applyAlignment="1">
      <alignment horizontal="right"/>
    </xf>
    <xf numFmtId="166" fontId="42" fillId="0" borderId="13" xfId="0" applyNumberFormat="1" applyFont="1" applyBorder="1"/>
    <xf numFmtId="43" fontId="64" fillId="5" borderId="20" xfId="0" applyNumberFormat="1" applyFont="1" applyFill="1" applyBorder="1" applyAlignment="1">
      <alignment horizontal="right"/>
    </xf>
    <xf numFmtId="0" fontId="40" fillId="8" borderId="20" xfId="0" quotePrefix="1" applyFont="1" applyFill="1" applyBorder="1" applyAlignment="1">
      <alignment horizontal="center"/>
    </xf>
    <xf numFmtId="173" fontId="40" fillId="0" borderId="19" xfId="0" applyNumberFormat="1" applyFont="1" applyBorder="1" applyAlignment="1">
      <alignment horizontal="center"/>
    </xf>
    <xf numFmtId="173" fontId="42" fillId="0" borderId="19" xfId="2" applyNumberFormat="1" applyFont="1" applyFill="1" applyBorder="1" applyAlignment="1" applyProtection="1">
      <alignment horizontal="center"/>
    </xf>
    <xf numFmtId="0" fontId="48" fillId="3" borderId="20" xfId="0" quotePrefix="1" applyFont="1" applyFill="1" applyBorder="1"/>
    <xf numFmtId="44" fontId="49" fillId="10" borderId="24" xfId="0" applyNumberFormat="1" applyFont="1" applyFill="1" applyBorder="1" applyAlignment="1">
      <alignment horizontal="center"/>
    </xf>
    <xf numFmtId="0" fontId="47" fillId="0" borderId="27" xfId="0" applyFont="1" applyBorder="1" applyAlignment="1">
      <alignment horizontal="left"/>
    </xf>
    <xf numFmtId="0" fontId="48" fillId="3" borderId="20" xfId="0" applyFont="1" applyFill="1" applyBorder="1"/>
    <xf numFmtId="44" fontId="49" fillId="10" borderId="20" xfId="0" applyNumberFormat="1" applyFont="1" applyFill="1" applyBorder="1" applyAlignment="1">
      <alignment horizontal="center"/>
    </xf>
    <xf numFmtId="1" fontId="49" fillId="10" borderId="20" xfId="0" applyNumberFormat="1" applyFont="1" applyFill="1" applyBorder="1" applyAlignment="1">
      <alignment horizontal="center"/>
    </xf>
    <xf numFmtId="0" fontId="47" fillId="13" borderId="0" xfId="0" applyFont="1" applyFill="1" applyAlignment="1">
      <alignment horizontal="center"/>
    </xf>
    <xf numFmtId="0" fontId="31" fillId="0" borderId="22" xfId="0" applyFont="1" applyBorder="1" applyAlignment="1">
      <alignment horizontal="left" wrapText="1"/>
    </xf>
    <xf numFmtId="10" fontId="9" fillId="15" borderId="22" xfId="0" applyNumberFormat="1" applyFont="1" applyFill="1" applyBorder="1" applyAlignment="1" applyProtection="1">
      <alignment horizontal="center"/>
      <protection locked="0"/>
    </xf>
    <xf numFmtId="0" fontId="31" fillId="0" borderId="0" xfId="0" applyFont="1" applyAlignment="1">
      <alignment wrapText="1"/>
    </xf>
    <xf numFmtId="0" fontId="31" fillId="0" borderId="23" xfId="0" applyFont="1" applyBorder="1" applyAlignment="1">
      <alignment wrapText="1"/>
    </xf>
    <xf numFmtId="43" fontId="47" fillId="10" borderId="20" xfId="1" applyFont="1" applyFill="1" applyBorder="1" applyAlignment="1" applyProtection="1">
      <alignment horizontal="center"/>
    </xf>
    <xf numFmtId="9" fontId="47" fillId="10" borderId="20" xfId="3" applyFont="1" applyFill="1" applyBorder="1" applyAlignment="1" applyProtection="1">
      <alignment horizontal="center"/>
    </xf>
    <xf numFmtId="9" fontId="49" fillId="10" borderId="20" xfId="5" applyFont="1" applyFill="1" applyBorder="1" applyAlignment="1" applyProtection="1">
      <alignment horizontal="center"/>
    </xf>
    <xf numFmtId="0" fontId="12" fillId="12" borderId="0" xfId="0" applyFont="1" applyFill="1"/>
    <xf numFmtId="0" fontId="47" fillId="13" borderId="0" xfId="0" applyFont="1" applyFill="1" applyAlignment="1">
      <alignment horizontal="left"/>
    </xf>
    <xf numFmtId="0" fontId="12" fillId="13" borderId="0" xfId="0" applyFont="1" applyFill="1"/>
    <xf numFmtId="167" fontId="42" fillId="0" borderId="15" xfId="2" quotePrefix="1" applyNumberFormat="1" applyFont="1" applyBorder="1"/>
    <xf numFmtId="43" fontId="74" fillId="0" borderId="0" xfId="6" applyNumberFormat="1" applyFont="1"/>
    <xf numFmtId="9" fontId="74" fillId="0" borderId="0" xfId="6" applyNumberFormat="1" applyFont="1"/>
    <xf numFmtId="43" fontId="74" fillId="0" borderId="33" xfId="6" applyNumberFormat="1" applyFont="1" applyBorder="1"/>
    <xf numFmtId="9" fontId="74" fillId="0" borderId="33" xfId="6" applyNumberFormat="1" applyFont="1" applyBorder="1"/>
    <xf numFmtId="43" fontId="42" fillId="0" borderId="33" xfId="6" quotePrefix="1" applyNumberFormat="1" applyFont="1" applyBorder="1"/>
    <xf numFmtId="44" fontId="42" fillId="0" borderId="0" xfId="6" applyNumberFormat="1" applyFont="1" applyAlignment="1">
      <alignment wrapText="1"/>
    </xf>
    <xf numFmtId="165" fontId="42" fillId="0" borderId="0" xfId="6" applyNumberFormat="1" applyFont="1" applyAlignment="1">
      <alignment wrapText="1"/>
    </xf>
    <xf numFmtId="44" fontId="42" fillId="0" borderId="33" xfId="6" applyNumberFormat="1" applyFont="1" applyBorder="1"/>
    <xf numFmtId="0" fontId="49" fillId="0" borderId="26" xfId="0" quotePrefix="1" applyFont="1" applyBorder="1" applyAlignment="1">
      <alignment horizontal="left"/>
    </xf>
    <xf numFmtId="0" fontId="49" fillId="0" borderId="26" xfId="0" applyFont="1" applyBorder="1" applyAlignment="1">
      <alignment horizontal="left"/>
    </xf>
    <xf numFmtId="9" fontId="42" fillId="0" borderId="33" xfId="6" quotePrefix="1" applyNumberFormat="1" applyFont="1" applyBorder="1"/>
    <xf numFmtId="3" fontId="40" fillId="10" borderId="20" xfId="0" applyNumberFormat="1" applyFont="1" applyFill="1" applyBorder="1" applyAlignment="1">
      <alignment horizontal="center"/>
    </xf>
    <xf numFmtId="165" fontId="49" fillId="10" borderId="20" xfId="0" applyNumberFormat="1" applyFont="1" applyFill="1" applyBorder="1" applyAlignment="1">
      <alignment horizontal="right"/>
    </xf>
    <xf numFmtId="165" fontId="49" fillId="10" borderId="20" xfId="0" applyNumberFormat="1" applyFont="1" applyFill="1" applyBorder="1"/>
    <xf numFmtId="165" fontId="54" fillId="10" borderId="20" xfId="0" applyNumberFormat="1" applyFont="1" applyFill="1" applyBorder="1"/>
    <xf numFmtId="165" fontId="47" fillId="10" borderId="20" xfId="0" applyNumberFormat="1" applyFont="1" applyFill="1" applyBorder="1"/>
    <xf numFmtId="0" fontId="34" fillId="0" borderId="0" xfId="0" applyFont="1" applyAlignment="1">
      <alignment horizontal="center" vertical="center" wrapText="1"/>
    </xf>
    <xf numFmtId="43" fontId="49" fillId="18" borderId="20" xfId="1" quotePrefix="1" applyFont="1" applyFill="1" applyBorder="1" applyProtection="1"/>
    <xf numFmtId="2" fontId="49" fillId="18" borderId="20" xfId="2" applyNumberFormat="1" applyFont="1" applyFill="1" applyBorder="1" applyAlignment="1" applyProtection="1">
      <alignment horizontal="right"/>
    </xf>
    <xf numFmtId="170" fontId="42" fillId="17" borderId="20" xfId="0" applyNumberFormat="1" applyFont="1" applyFill="1" applyBorder="1" applyAlignment="1">
      <alignment horizontal="center"/>
    </xf>
    <xf numFmtId="167" fontId="40" fillId="0" borderId="0" xfId="2" applyNumberFormat="1" applyFont="1" applyBorder="1" applyAlignment="1">
      <alignment horizontal="right"/>
    </xf>
    <xf numFmtId="42" fontId="40" fillId="0" borderId="0" xfId="9" applyNumberFormat="1" applyFont="1" applyBorder="1" applyAlignment="1">
      <alignment horizontal="right"/>
    </xf>
    <xf numFmtId="42" fontId="42" fillId="0" borderId="15" xfId="0" applyNumberFormat="1" applyFont="1" applyBorder="1"/>
    <xf numFmtId="42" fontId="40" fillId="0" borderId="10" xfId="2" applyNumberFormat="1" applyFont="1" applyBorder="1" applyAlignment="1">
      <alignment horizontal="right"/>
    </xf>
    <xf numFmtId="42" fontId="40" fillId="0" borderId="10" xfId="9" applyNumberFormat="1" applyFont="1" applyBorder="1" applyAlignment="1">
      <alignment horizontal="right"/>
    </xf>
    <xf numFmtId="42" fontId="42" fillId="0" borderId="15" xfId="2" applyNumberFormat="1" applyFont="1" applyBorder="1"/>
    <xf numFmtId="0" fontId="9" fillId="15" borderId="20" xfId="0" applyFont="1" applyFill="1" applyBorder="1" applyAlignment="1" applyProtection="1">
      <alignment horizontal="center"/>
      <protection locked="0"/>
    </xf>
    <xf numFmtId="0" fontId="42" fillId="0" borderId="12" xfId="0" applyFont="1" applyBorder="1" applyAlignment="1">
      <alignment horizontal="right"/>
    </xf>
    <xf numFmtId="0" fontId="45" fillId="0" borderId="14" xfId="0" applyFont="1" applyBorder="1" applyAlignment="1">
      <alignment horizontal="right"/>
    </xf>
    <xf numFmtId="0" fontId="40" fillId="0" borderId="9" xfId="0" applyFont="1" applyBorder="1" applyAlignment="1">
      <alignment horizontal="right"/>
    </xf>
    <xf numFmtId="0" fontId="42" fillId="15" borderId="18" xfId="0" applyFont="1" applyFill="1" applyBorder="1" applyAlignment="1" applyProtection="1">
      <alignment horizontal="right"/>
      <protection locked="0"/>
    </xf>
    <xf numFmtId="43" fontId="42" fillId="15" borderId="19" xfId="1" applyFont="1" applyFill="1" applyBorder="1" applyAlignment="1" applyProtection="1">
      <alignment horizontal="right"/>
      <protection locked="0"/>
    </xf>
    <xf numFmtId="9" fontId="42" fillId="15" borderId="19" xfId="3" applyFont="1" applyFill="1" applyBorder="1" applyAlignment="1" applyProtection="1">
      <alignment horizontal="right"/>
      <protection locked="0"/>
    </xf>
    <xf numFmtId="0" fontId="0" fillId="0" borderId="0" xfId="0" applyAlignment="1">
      <alignment horizontal="right"/>
    </xf>
    <xf numFmtId="0" fontId="31" fillId="0" borderId="0" xfId="0" applyFont="1" applyProtection="1">
      <protection locked="0"/>
    </xf>
    <xf numFmtId="0" fontId="40" fillId="10" borderId="15" xfId="0" applyFont="1" applyFill="1" applyBorder="1"/>
    <xf numFmtId="9" fontId="40" fillId="10" borderId="15" xfId="3" applyFont="1" applyFill="1" applyBorder="1"/>
    <xf numFmtId="0" fontId="48" fillId="0" borderId="13" xfId="0" applyFont="1" applyBorder="1" applyAlignment="1">
      <alignment horizontal="right"/>
    </xf>
    <xf numFmtId="0" fontId="40" fillId="0" borderId="0" xfId="0" applyFont="1" applyAlignment="1">
      <alignment horizontal="right" wrapText="1"/>
    </xf>
    <xf numFmtId="0" fontId="35" fillId="0" borderId="0" xfId="0" applyFont="1" applyAlignment="1">
      <alignment horizontal="right"/>
    </xf>
    <xf numFmtId="10" fontId="84" fillId="9" borderId="0" xfId="0" applyNumberFormat="1" applyFont="1" applyFill="1"/>
    <xf numFmtId="0" fontId="35" fillId="0" borderId="0" xfId="0" applyFont="1" applyAlignment="1">
      <alignment horizontal="center"/>
    </xf>
    <xf numFmtId="0" fontId="35" fillId="0" borderId="20" xfId="0" applyFont="1" applyBorder="1"/>
    <xf numFmtId="0" fontId="45" fillId="0" borderId="0" xfId="0" applyFont="1" applyAlignment="1">
      <alignment horizontal="right"/>
    </xf>
    <xf numFmtId="169" fontId="49" fillId="10" borderId="20" xfId="2" applyNumberFormat="1" applyFont="1" applyFill="1" applyBorder="1" applyAlignment="1" applyProtection="1">
      <alignment horizontal="center"/>
    </xf>
    <xf numFmtId="0" fontId="49" fillId="0" borderId="0" xfId="0" applyFont="1" applyAlignment="1">
      <alignment horizontal="left" vertical="top"/>
    </xf>
    <xf numFmtId="0" fontId="47" fillId="0" borderId="0" xfId="4" applyFont="1" applyProtection="1">
      <protection locked="0"/>
    </xf>
    <xf numFmtId="43" fontId="47" fillId="15" borderId="20" xfId="4" applyNumberFormat="1" applyFont="1" applyFill="1" applyBorder="1" applyProtection="1">
      <protection locked="0"/>
    </xf>
    <xf numFmtId="7" fontId="40" fillId="0" borderId="20" xfId="0" applyNumberFormat="1" applyFont="1" applyBorder="1" applyAlignment="1">
      <alignment horizontal="center" wrapText="1"/>
    </xf>
    <xf numFmtId="0" fontId="47" fillId="0" borderId="22" xfId="0" applyFont="1" applyBorder="1"/>
    <xf numFmtId="44" fontId="47" fillId="10" borderId="20" xfId="0" applyNumberFormat="1" applyFont="1" applyFill="1" applyBorder="1" applyAlignment="1">
      <alignment horizontal="center"/>
    </xf>
    <xf numFmtId="44" fontId="42" fillId="0" borderId="33" xfId="2" quotePrefix="1" applyFont="1" applyBorder="1"/>
    <xf numFmtId="165" fontId="42" fillId="0" borderId="33" xfId="6" applyNumberFormat="1" applyFont="1" applyBorder="1" applyAlignment="1">
      <alignment wrapText="1"/>
    </xf>
    <xf numFmtId="1" fontId="49" fillId="10" borderId="20" xfId="1" applyNumberFormat="1" applyFont="1" applyFill="1" applyBorder="1" applyProtection="1"/>
    <xf numFmtId="0" fontId="40" fillId="19" borderId="0" xfId="0" applyFont="1" applyFill="1" applyAlignment="1">
      <alignment horizontal="center"/>
    </xf>
    <xf numFmtId="0" fontId="23" fillId="0" borderId="0" xfId="0" applyFont="1"/>
    <xf numFmtId="7" fontId="49" fillId="0" borderId="20" xfId="0" applyNumberFormat="1" applyFont="1" applyBorder="1" applyAlignment="1">
      <alignment horizontal="center"/>
    </xf>
    <xf numFmtId="173" fontId="49" fillId="0" borderId="19" xfId="2" applyNumberFormat="1" applyFont="1" applyFill="1" applyBorder="1" applyAlignment="1" applyProtection="1">
      <alignment horizontal="center"/>
    </xf>
    <xf numFmtId="170" fontId="49" fillId="8" borderId="20" xfId="0" applyNumberFormat="1" applyFont="1" applyFill="1" applyBorder="1" applyAlignment="1">
      <alignment horizontal="center"/>
    </xf>
    <xf numFmtId="7" fontId="49" fillId="8" borderId="20" xfId="0" applyNumberFormat="1" applyFont="1" applyFill="1" applyBorder="1" applyAlignment="1">
      <alignment horizontal="center"/>
    </xf>
    <xf numFmtId="173" fontId="49" fillId="0" borderId="20" xfId="0" applyNumberFormat="1" applyFont="1" applyBorder="1" applyAlignment="1">
      <alignment horizontal="center"/>
    </xf>
    <xf numFmtId="7" fontId="47" fillId="0" borderId="0" xfId="0" applyNumberFormat="1" applyFont="1" applyAlignment="1">
      <alignment horizontal="center"/>
    </xf>
    <xf numFmtId="0" fontId="49" fillId="0" borderId="20" xfId="0" quotePrefix="1" applyFont="1" applyBorder="1"/>
    <xf numFmtId="166" fontId="49" fillId="0" borderId="2" xfId="0" quotePrefix="1" applyNumberFormat="1" applyFont="1" applyBorder="1" applyAlignment="1">
      <alignment horizontal="center"/>
    </xf>
    <xf numFmtId="166" fontId="49" fillId="8" borderId="2" xfId="0" quotePrefix="1" applyNumberFormat="1" applyFont="1" applyFill="1" applyBorder="1" applyAlignment="1">
      <alignment horizontal="center"/>
    </xf>
    <xf numFmtId="170" fontId="49" fillId="8" borderId="20" xfId="60" applyNumberFormat="1" applyFont="1" applyFill="1" applyBorder="1" applyAlignment="1" applyProtection="1">
      <alignment horizontal="center"/>
    </xf>
    <xf numFmtId="166" fontId="49" fillId="0" borderId="20" xfId="60" applyNumberFormat="1" applyFont="1" applyFill="1" applyBorder="1" applyAlignment="1" applyProtection="1">
      <alignment horizontal="center"/>
    </xf>
    <xf numFmtId="166" fontId="49" fillId="8" borderId="20" xfId="0" applyNumberFormat="1" applyFont="1" applyFill="1" applyBorder="1" applyAlignment="1">
      <alignment horizontal="center"/>
    </xf>
    <xf numFmtId="164" fontId="47" fillId="15" borderId="20" xfId="3" quotePrefix="1" applyNumberFormat="1" applyFont="1" applyFill="1" applyBorder="1" applyProtection="1">
      <protection locked="0"/>
    </xf>
    <xf numFmtId="42" fontId="47" fillId="15" borderId="20" xfId="4" applyNumberFormat="1" applyFont="1" applyFill="1" applyBorder="1" applyProtection="1">
      <protection locked="0"/>
    </xf>
    <xf numFmtId="42" fontId="40" fillId="15" borderId="20" xfId="4" applyNumberFormat="1" applyFont="1" applyFill="1" applyBorder="1" applyProtection="1">
      <protection locked="0"/>
    </xf>
    <xf numFmtId="0" fontId="31" fillId="0" borderId="20" xfId="0" applyFont="1" applyBorder="1" applyAlignment="1">
      <alignment horizontal="center" vertical="center" wrapText="1"/>
    </xf>
    <xf numFmtId="0" fontId="42" fillId="0" borderId="0" xfId="3" applyNumberFormat="1" applyFont="1" applyProtection="1"/>
    <xf numFmtId="0" fontId="40" fillId="0" borderId="17" xfId="0" applyFont="1" applyBorder="1" applyAlignment="1">
      <alignment horizontal="center" wrapText="1"/>
    </xf>
    <xf numFmtId="0" fontId="9" fillId="15" borderId="25" xfId="0" applyFont="1" applyFill="1" applyBorder="1" applyAlignment="1" applyProtection="1">
      <alignment horizontal="left"/>
      <protection locked="0"/>
    </xf>
    <xf numFmtId="0" fontId="9" fillId="15" borderId="19" xfId="0" applyFont="1" applyFill="1" applyBorder="1" applyAlignment="1" applyProtection="1">
      <alignment horizontal="left"/>
      <protection locked="0"/>
    </xf>
    <xf numFmtId="0" fontId="49" fillId="15" borderId="20" xfId="0" applyFont="1" applyFill="1" applyBorder="1"/>
    <xf numFmtId="0" fontId="88" fillId="0" borderId="0" xfId="6" applyFont="1"/>
    <xf numFmtId="0" fontId="49" fillId="0" borderId="27" xfId="0" quotePrefix="1" applyFont="1" applyBorder="1"/>
    <xf numFmtId="0" fontId="49" fillId="0" borderId="17" xfId="0" quotePrefix="1" applyFont="1" applyBorder="1"/>
    <xf numFmtId="1" fontId="49" fillId="10" borderId="19" xfId="0" applyNumberFormat="1" applyFont="1" applyFill="1" applyBorder="1"/>
    <xf numFmtId="43" fontId="49" fillId="18" borderId="20" xfId="4" applyNumberFormat="1" applyFont="1" applyFill="1" applyBorder="1"/>
    <xf numFmtId="42" fontId="47" fillId="18" borderId="20" xfId="4" applyNumberFormat="1" applyFont="1" applyFill="1" applyBorder="1"/>
    <xf numFmtId="0" fontId="47" fillId="0" borderId="0" xfId="4" applyFont="1"/>
    <xf numFmtId="0" fontId="49" fillId="0" borderId="0" xfId="4" applyFont="1"/>
    <xf numFmtId="0" fontId="49" fillId="0" borderId="20" xfId="4" applyFont="1" applyBorder="1" applyAlignment="1">
      <alignment horizontal="center"/>
    </xf>
    <xf numFmtId="0" fontId="51" fillId="0" borderId="0" xfId="4" applyFont="1"/>
    <xf numFmtId="2" fontId="51" fillId="18" borderId="20" xfId="0" applyNumberFormat="1" applyFont="1" applyFill="1" applyBorder="1"/>
    <xf numFmtId="10" fontId="61" fillId="0" borderId="0" xfId="4" applyNumberFormat="1" applyFont="1"/>
    <xf numFmtId="0" fontId="40" fillId="16" borderId="0" xfId="4" applyFont="1" applyFill="1"/>
    <xf numFmtId="0" fontId="42" fillId="16" borderId="0" xfId="4" applyFont="1" applyFill="1"/>
    <xf numFmtId="0" fontId="40" fillId="13" borderId="0" xfId="4" applyFont="1" applyFill="1"/>
    <xf numFmtId="0" fontId="42" fillId="13" borderId="0" xfId="4" applyFont="1" applyFill="1"/>
    <xf numFmtId="0" fontId="47" fillId="0" borderId="20" xfId="4" applyFont="1" applyBorder="1" applyAlignment="1">
      <alignment horizontal="center"/>
    </xf>
    <xf numFmtId="2" fontId="42" fillId="0" borderId="0" xfId="4" applyNumberFormat="1" applyFont="1"/>
    <xf numFmtId="43" fontId="47" fillId="18" borderId="20" xfId="4" applyNumberFormat="1" applyFont="1" applyFill="1" applyBorder="1"/>
    <xf numFmtId="43" fontId="42" fillId="0" borderId="0" xfId="4" applyNumberFormat="1" applyFont="1"/>
    <xf numFmtId="43" fontId="47" fillId="0" borderId="0" xfId="4" applyNumberFormat="1" applyFont="1"/>
    <xf numFmtId="0" fontId="47" fillId="0" borderId="0" xfId="4" applyFont="1" applyAlignment="1">
      <alignment wrapText="1"/>
    </xf>
    <xf numFmtId="43" fontId="47" fillId="0" borderId="0" xfId="4" applyNumberFormat="1" applyFont="1" applyAlignment="1">
      <alignment horizontal="center" wrapText="1"/>
    </xf>
    <xf numFmtId="43" fontId="49" fillId="0" borderId="0" xfId="4" applyNumberFormat="1" applyFont="1"/>
    <xf numFmtId="167" fontId="66" fillId="0" borderId="0" xfId="4" applyNumberFormat="1" applyFont="1"/>
    <xf numFmtId="0" fontId="86" fillId="0" borderId="0" xfId="4" applyFont="1"/>
    <xf numFmtId="0" fontId="10" fillId="0" borderId="0" xfId="4" applyFont="1"/>
    <xf numFmtId="9" fontId="0" fillId="0" borderId="0" xfId="0" applyNumberFormat="1" applyAlignment="1">
      <alignment horizontal="center"/>
    </xf>
    <xf numFmtId="9" fontId="9" fillId="0" borderId="23" xfId="0" applyNumberFormat="1" applyFont="1" applyBorder="1" applyAlignment="1">
      <alignment horizontal="center"/>
    </xf>
    <xf numFmtId="0" fontId="31" fillId="0" borderId="24" xfId="0" applyFont="1" applyBorder="1"/>
    <xf numFmtId="0" fontId="0" fillId="0" borderId="24" xfId="0" applyBorder="1"/>
    <xf numFmtId="43" fontId="49" fillId="18" borderId="20" xfId="3" applyNumberFormat="1" applyFont="1" applyFill="1" applyBorder="1" applyProtection="1"/>
  </cellXfs>
  <cellStyles count="62">
    <cellStyle name="Comma" xfId="1" builtinId="3"/>
    <cellStyle name="Comma 2" xfId="8" xr:uid="{00000000-0005-0000-0000-000001000000}"/>
    <cellStyle name="Comma 2 2" xfId="14" xr:uid="{00000000-0005-0000-0000-000002000000}"/>
    <cellStyle name="Comma 2 2 2" xfId="40" xr:uid="{00000000-0005-0000-0000-000003000000}"/>
    <cellStyle name="Comma 2 3" xfId="60" xr:uid="{00000000-0005-0000-0000-000004000000}"/>
    <cellStyle name="Comma 3" xfId="13" xr:uid="{00000000-0005-0000-0000-000005000000}"/>
    <cellStyle name="Comma 3 2" xfId="24" xr:uid="{00000000-0005-0000-0000-000006000000}"/>
    <cellStyle name="Comma 3 3" xfId="39" xr:uid="{00000000-0005-0000-0000-000007000000}"/>
    <cellStyle name="Comma 4" xfId="12" xr:uid="{00000000-0005-0000-0000-000008000000}"/>
    <cellStyle name="Comma 4 2" xfId="38" xr:uid="{00000000-0005-0000-0000-000009000000}"/>
    <cellStyle name="Comma 5" xfId="21" xr:uid="{00000000-0005-0000-0000-00000A000000}"/>
    <cellStyle name="Comma 5 2" xfId="43" xr:uid="{00000000-0005-0000-0000-00000B000000}"/>
    <cellStyle name="Comma 6" xfId="25" xr:uid="{00000000-0005-0000-0000-00000C000000}"/>
    <cellStyle name="Comma 6 2" xfId="46" xr:uid="{00000000-0005-0000-0000-00000D000000}"/>
    <cellStyle name="Currency" xfId="2" builtinId="4"/>
    <cellStyle name="Currency 2" xfId="9" xr:uid="{00000000-0005-0000-0000-00000F000000}"/>
    <cellStyle name="Currency 2 2" xfId="7" xr:uid="{00000000-0005-0000-0000-000010000000}"/>
    <cellStyle name="Currency 2 2 2" xfId="26" xr:uid="{00000000-0005-0000-0000-000011000000}"/>
    <cellStyle name="Currency 2 2 2 2" xfId="47" xr:uid="{00000000-0005-0000-0000-000012000000}"/>
    <cellStyle name="Currency 2 2 3" xfId="37" xr:uid="{00000000-0005-0000-0000-000013000000}"/>
    <cellStyle name="Currency 2 3" xfId="56" xr:uid="{00000000-0005-0000-0000-000014000000}"/>
    <cellStyle name="Currency 3" xfId="19" xr:uid="{00000000-0005-0000-0000-000015000000}"/>
    <cellStyle name="Currency 4" xfId="27" xr:uid="{00000000-0005-0000-0000-000016000000}"/>
    <cellStyle name="Currency 4 2" xfId="48" xr:uid="{00000000-0005-0000-0000-000017000000}"/>
    <cellStyle name="Excel Built-in Normal" xfId="20" xr:uid="{00000000-0005-0000-0000-000018000000}"/>
    <cellStyle name="LS Head" xfId="57" xr:uid="{00000000-0005-0000-0000-000019000000}"/>
    <cellStyle name="Normal" xfId="0" builtinId="0"/>
    <cellStyle name="Normal 2" xfId="4" xr:uid="{00000000-0005-0000-0000-00001B000000}"/>
    <cellStyle name="Normal 2 2" xfId="6" xr:uid="{00000000-0005-0000-0000-00001C000000}"/>
    <cellStyle name="Normal 2 2 2" xfId="28" xr:uid="{00000000-0005-0000-0000-00001D000000}"/>
    <cellStyle name="Normal 2 2 2 2" xfId="49" xr:uid="{00000000-0005-0000-0000-00001E000000}"/>
    <cellStyle name="Normal 2 2 3" xfId="36" xr:uid="{00000000-0005-0000-0000-00001F000000}"/>
    <cellStyle name="Normal 3" xfId="10" xr:uid="{00000000-0005-0000-0000-000020000000}"/>
    <cellStyle name="Normal 4" xfId="11" xr:uid="{00000000-0005-0000-0000-000021000000}"/>
    <cellStyle name="Normal 4 2" xfId="29" xr:uid="{00000000-0005-0000-0000-000022000000}"/>
    <cellStyle name="Normal 5" xfId="15" xr:uid="{00000000-0005-0000-0000-000023000000}"/>
    <cellStyle name="Normal 6" xfId="16" xr:uid="{00000000-0005-0000-0000-000024000000}"/>
    <cellStyle name="Normal 6 2" xfId="22" xr:uid="{00000000-0005-0000-0000-000025000000}"/>
    <cellStyle name="Normal 6 2 2" xfId="44" xr:uid="{00000000-0005-0000-0000-000026000000}"/>
    <cellStyle name="Normal 6 3" xfId="32" xr:uid="{00000000-0005-0000-0000-000027000000}"/>
    <cellStyle name="Normal 6 3 2" xfId="52" xr:uid="{00000000-0005-0000-0000-000028000000}"/>
    <cellStyle name="Normal 6 4" xfId="41" xr:uid="{00000000-0005-0000-0000-000029000000}"/>
    <cellStyle name="Normal 7" xfId="30" xr:uid="{00000000-0005-0000-0000-00002A000000}"/>
    <cellStyle name="Normal 7 2" xfId="50" xr:uid="{00000000-0005-0000-0000-00002B000000}"/>
    <cellStyle name="Normal 8" xfId="34" xr:uid="{00000000-0005-0000-0000-00002C000000}"/>
    <cellStyle name="Normal 8 2" xfId="54" xr:uid="{00000000-0005-0000-0000-00002D000000}"/>
    <cellStyle name="Normal 9" xfId="58" xr:uid="{00000000-0005-0000-0000-00002E000000}"/>
    <cellStyle name="Percent" xfId="3" builtinId="5"/>
    <cellStyle name="Percent 2" xfId="5" xr:uid="{00000000-0005-0000-0000-000030000000}"/>
    <cellStyle name="Percent 2 2" xfId="61" xr:uid="{00000000-0005-0000-0000-000031000000}"/>
    <cellStyle name="Percent 3" xfId="18" xr:uid="{00000000-0005-0000-0000-000032000000}"/>
    <cellStyle name="Percent 3 2" xfId="23" xr:uid="{00000000-0005-0000-0000-000033000000}"/>
    <cellStyle name="Percent 3 2 2" xfId="33" xr:uid="{00000000-0005-0000-0000-000034000000}"/>
    <cellStyle name="Percent 3 2 2 2" xfId="53" xr:uid="{00000000-0005-0000-0000-000035000000}"/>
    <cellStyle name="Percent 3 2 3" xfId="45" xr:uid="{00000000-0005-0000-0000-000036000000}"/>
    <cellStyle name="Percent 3 3" xfId="42" xr:uid="{00000000-0005-0000-0000-000037000000}"/>
    <cellStyle name="Percent 4" xfId="17" xr:uid="{00000000-0005-0000-0000-000038000000}"/>
    <cellStyle name="Percent 5" xfId="31" xr:uid="{00000000-0005-0000-0000-000039000000}"/>
    <cellStyle name="Percent 5 2" xfId="51" xr:uid="{00000000-0005-0000-0000-00003A000000}"/>
    <cellStyle name="Percent 6" xfId="35" xr:uid="{00000000-0005-0000-0000-00003B000000}"/>
    <cellStyle name="Percent 6 2" xfId="55" xr:uid="{00000000-0005-0000-0000-00003C000000}"/>
    <cellStyle name="Percent 7" xfId="59" xr:uid="{00000000-0005-0000-0000-00003D000000}"/>
  </cellStyles>
  <dxfs count="0"/>
  <tableStyles count="0" defaultTableStyle="TableStyleMedium9" defaultPivotStyle="PivotStyleLight16"/>
  <colors>
    <mruColors>
      <color rgb="FFEAEAEA"/>
      <color rgb="FFCCFFCC"/>
      <color rgb="FF0000FF"/>
      <color rgb="FFB7DEE8"/>
      <color rgb="FFFFCC66"/>
      <color rgb="FFDDDDDD"/>
      <color rgb="FFFFCCFF"/>
      <color rgb="FFFF66FF"/>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27"/>
  <sheetViews>
    <sheetView tabSelected="1" zoomScale="90" zoomScaleNormal="90" zoomScalePageLayoutView="120" workbookViewId="0">
      <selection activeCell="A250" sqref="A250"/>
    </sheetView>
  </sheetViews>
  <sheetFormatPr defaultColWidth="9.140625" defaultRowHeight="12.75" x14ac:dyDescent="0.2"/>
  <cols>
    <col min="1" max="1" width="167.42578125" style="26" customWidth="1"/>
    <col min="2" max="16384" width="9.140625" style="26"/>
  </cols>
  <sheetData>
    <row r="1" spans="1:1" ht="15.75" x14ac:dyDescent="0.25">
      <c r="A1" s="96" t="s">
        <v>626</v>
      </c>
    </row>
    <row r="2" spans="1:1" x14ac:dyDescent="0.2">
      <c r="A2" s="92"/>
    </row>
    <row r="3" spans="1:1" x14ac:dyDescent="0.2">
      <c r="A3" s="92" t="s">
        <v>162</v>
      </c>
    </row>
    <row r="4" spans="1:1" x14ac:dyDescent="0.2">
      <c r="A4" s="92" t="s">
        <v>163</v>
      </c>
    </row>
    <row r="5" spans="1:1" x14ac:dyDescent="0.2">
      <c r="A5" s="92"/>
    </row>
    <row r="6" spans="1:1" x14ac:dyDescent="0.2">
      <c r="A6" s="92" t="s">
        <v>228</v>
      </c>
    </row>
    <row r="7" spans="1:1" x14ac:dyDescent="0.2">
      <c r="A7" s="92" t="s">
        <v>356</v>
      </c>
    </row>
    <row r="8" spans="1:1" x14ac:dyDescent="0.2">
      <c r="A8" s="92"/>
    </row>
    <row r="9" spans="1:1" x14ac:dyDescent="0.2">
      <c r="A9" s="92" t="s">
        <v>186</v>
      </c>
    </row>
    <row r="10" spans="1:1" x14ac:dyDescent="0.2">
      <c r="A10" s="92" t="s">
        <v>357</v>
      </c>
    </row>
    <row r="11" spans="1:1" x14ac:dyDescent="0.2">
      <c r="A11" s="92"/>
    </row>
    <row r="12" spans="1:1" x14ac:dyDescent="0.2">
      <c r="A12" s="92" t="s">
        <v>233</v>
      </c>
    </row>
    <row r="13" spans="1:1" x14ac:dyDescent="0.2">
      <c r="A13" s="92" t="s">
        <v>358</v>
      </c>
    </row>
    <row r="14" spans="1:1" x14ac:dyDescent="0.2">
      <c r="A14" s="93"/>
    </row>
    <row r="15" spans="1:1" x14ac:dyDescent="0.2">
      <c r="A15" s="92" t="s">
        <v>187</v>
      </c>
    </row>
    <row r="16" spans="1:1" x14ac:dyDescent="0.2">
      <c r="A16" s="92"/>
    </row>
    <row r="17" spans="1:1" x14ac:dyDescent="0.2">
      <c r="A17" s="94" t="s">
        <v>359</v>
      </c>
    </row>
    <row r="18" spans="1:1" x14ac:dyDescent="0.2">
      <c r="A18" s="94" t="s">
        <v>360</v>
      </c>
    </row>
    <row r="19" spans="1:1" x14ac:dyDescent="0.2">
      <c r="A19" s="94" t="s">
        <v>361</v>
      </c>
    </row>
    <row r="20" spans="1:1" x14ac:dyDescent="0.2">
      <c r="A20" s="94"/>
    </row>
    <row r="21" spans="1:1" x14ac:dyDescent="0.2">
      <c r="A21" s="94" t="s">
        <v>362</v>
      </c>
    </row>
    <row r="22" spans="1:1" x14ac:dyDescent="0.2">
      <c r="A22" s="94" t="s">
        <v>188</v>
      </c>
    </row>
    <row r="23" spans="1:1" x14ac:dyDescent="0.2">
      <c r="A23" s="93"/>
    </row>
    <row r="24" spans="1:1" x14ac:dyDescent="0.2">
      <c r="A24" s="95" t="s">
        <v>166</v>
      </c>
    </row>
    <row r="25" spans="1:1" x14ac:dyDescent="0.2">
      <c r="A25" s="92" t="s">
        <v>363</v>
      </c>
    </row>
    <row r="26" spans="1:1" x14ac:dyDescent="0.2">
      <c r="A26" s="92" t="s">
        <v>184</v>
      </c>
    </row>
    <row r="27" spans="1:1" x14ac:dyDescent="0.2">
      <c r="A27" s="92"/>
    </row>
    <row r="28" spans="1:1" x14ac:dyDescent="0.2">
      <c r="A28" s="95" t="s">
        <v>185</v>
      </c>
    </row>
    <row r="29" spans="1:1" x14ac:dyDescent="0.2">
      <c r="A29" s="92" t="s">
        <v>364</v>
      </c>
    </row>
    <row r="30" spans="1:1" x14ac:dyDescent="0.2">
      <c r="A30" s="92" t="s">
        <v>365</v>
      </c>
    </row>
    <row r="31" spans="1:1" x14ac:dyDescent="0.2">
      <c r="A31" s="92" t="s">
        <v>366</v>
      </c>
    </row>
    <row r="32" spans="1:1" x14ac:dyDescent="0.2">
      <c r="A32" s="92"/>
    </row>
    <row r="33" spans="1:1" x14ac:dyDescent="0.2">
      <c r="A33" s="95" t="s">
        <v>275</v>
      </c>
    </row>
    <row r="34" spans="1:1" x14ac:dyDescent="0.2">
      <c r="A34" s="92" t="s">
        <v>276</v>
      </c>
    </row>
    <row r="35" spans="1:1" x14ac:dyDescent="0.2">
      <c r="A35" s="92" t="s">
        <v>367</v>
      </c>
    </row>
    <row r="36" spans="1:1" x14ac:dyDescent="0.2">
      <c r="A36" s="92" t="s">
        <v>277</v>
      </c>
    </row>
    <row r="37" spans="1:1" x14ac:dyDescent="0.2">
      <c r="A37" s="92" t="s">
        <v>278</v>
      </c>
    </row>
    <row r="38" spans="1:1" hidden="1" x14ac:dyDescent="0.2">
      <c r="A38" s="92" t="s">
        <v>284</v>
      </c>
    </row>
    <row r="39" spans="1:1" hidden="1" x14ac:dyDescent="0.2">
      <c r="A39" s="92" t="s">
        <v>368</v>
      </c>
    </row>
    <row r="40" spans="1:1" hidden="1" x14ac:dyDescent="0.2">
      <c r="A40" s="92" t="s">
        <v>369</v>
      </c>
    </row>
    <row r="41" spans="1:1" hidden="1" x14ac:dyDescent="0.2">
      <c r="A41" s="92"/>
    </row>
    <row r="42" spans="1:1" x14ac:dyDescent="0.2">
      <c r="A42" s="92" t="s">
        <v>279</v>
      </c>
    </row>
    <row r="43" spans="1:1" x14ac:dyDescent="0.2">
      <c r="A43" s="92"/>
    </row>
    <row r="44" spans="1:1" x14ac:dyDescent="0.2">
      <c r="A44" s="95" t="s">
        <v>193</v>
      </c>
    </row>
    <row r="45" spans="1:1" x14ac:dyDescent="0.2">
      <c r="A45" s="95" t="s">
        <v>194</v>
      </c>
    </row>
    <row r="46" spans="1:1" x14ac:dyDescent="0.2">
      <c r="A46" s="92" t="s">
        <v>370</v>
      </c>
    </row>
    <row r="47" spans="1:1" x14ac:dyDescent="0.2">
      <c r="A47" s="92" t="s">
        <v>371</v>
      </c>
    </row>
    <row r="48" spans="1:1" x14ac:dyDescent="0.2">
      <c r="A48" s="92" t="s">
        <v>180</v>
      </c>
    </row>
    <row r="49" spans="1:1" x14ac:dyDescent="0.2">
      <c r="A49" s="95" t="s">
        <v>190</v>
      </c>
    </row>
    <row r="50" spans="1:1" x14ac:dyDescent="0.2">
      <c r="A50" s="92" t="s">
        <v>372</v>
      </c>
    </row>
    <row r="51" spans="1:1" x14ac:dyDescent="0.2">
      <c r="A51" s="92" t="s">
        <v>373</v>
      </c>
    </row>
    <row r="52" spans="1:1" x14ac:dyDescent="0.2">
      <c r="A52" s="92"/>
    </row>
    <row r="53" spans="1:1" x14ac:dyDescent="0.2">
      <c r="A53" s="95" t="s">
        <v>552</v>
      </c>
    </row>
    <row r="54" spans="1:1" x14ac:dyDescent="0.2">
      <c r="A54" s="92" t="s">
        <v>189</v>
      </c>
    </row>
    <row r="55" spans="1:1" x14ac:dyDescent="0.2">
      <c r="A55" s="96" t="s">
        <v>172</v>
      </c>
    </row>
    <row r="56" spans="1:1" x14ac:dyDescent="0.2">
      <c r="A56" s="92" t="s">
        <v>178</v>
      </c>
    </row>
    <row r="57" spans="1:1" x14ac:dyDescent="0.2">
      <c r="A57" s="92" t="s">
        <v>171</v>
      </c>
    </row>
    <row r="58" spans="1:1" x14ac:dyDescent="0.2">
      <c r="A58" s="92" t="s">
        <v>177</v>
      </c>
    </row>
    <row r="59" spans="1:1" x14ac:dyDescent="0.2">
      <c r="A59" s="92" t="s">
        <v>173</v>
      </c>
    </row>
    <row r="60" spans="1:1" x14ac:dyDescent="0.2">
      <c r="A60" s="92" t="s">
        <v>174</v>
      </c>
    </row>
    <row r="61" spans="1:1" x14ac:dyDescent="0.2">
      <c r="A61" s="92" t="s">
        <v>175</v>
      </c>
    </row>
    <row r="62" spans="1:1" x14ac:dyDescent="0.2">
      <c r="A62" s="92" t="s">
        <v>176</v>
      </c>
    </row>
    <row r="63" spans="1:1" x14ac:dyDescent="0.2">
      <c r="A63" s="92" t="s">
        <v>179</v>
      </c>
    </row>
    <row r="64" spans="1:1" x14ac:dyDescent="0.2">
      <c r="A64" s="92"/>
    </row>
    <row r="65" spans="1:14" x14ac:dyDescent="0.2">
      <c r="A65" s="95" t="s">
        <v>192</v>
      </c>
    </row>
    <row r="66" spans="1:14" x14ac:dyDescent="0.2">
      <c r="A66" s="95" t="s">
        <v>303</v>
      </c>
    </row>
    <row r="67" spans="1:14" x14ac:dyDescent="0.2">
      <c r="A67" s="92" t="s">
        <v>167</v>
      </c>
    </row>
    <row r="68" spans="1:14" x14ac:dyDescent="0.2">
      <c r="A68" s="92" t="s">
        <v>164</v>
      </c>
    </row>
    <row r="69" spans="1:14" x14ac:dyDescent="0.2">
      <c r="A69" s="92" t="s">
        <v>165</v>
      </c>
    </row>
    <row r="70" spans="1:14" x14ac:dyDescent="0.2">
      <c r="A70" s="95" t="s">
        <v>191</v>
      </c>
    </row>
    <row r="71" spans="1:14" x14ac:dyDescent="0.2">
      <c r="A71" s="92" t="s">
        <v>168</v>
      </c>
    </row>
    <row r="72" spans="1:14" x14ac:dyDescent="0.2">
      <c r="A72" s="92"/>
    </row>
    <row r="73" spans="1:14" x14ac:dyDescent="0.2">
      <c r="A73" s="95" t="s">
        <v>203</v>
      </c>
    </row>
    <row r="74" spans="1:14" x14ac:dyDescent="0.2">
      <c r="A74" s="95" t="s">
        <v>196</v>
      </c>
    </row>
    <row r="75" spans="1:14" x14ac:dyDescent="0.2">
      <c r="A75" s="92" t="s">
        <v>202</v>
      </c>
    </row>
    <row r="76" spans="1:14" x14ac:dyDescent="0.2">
      <c r="A76" s="92" t="s">
        <v>181</v>
      </c>
      <c r="B76" s="18"/>
      <c r="C76" s="18"/>
      <c r="D76" s="18"/>
      <c r="E76" s="18"/>
      <c r="F76" s="18"/>
      <c r="G76" s="18"/>
      <c r="H76" s="18"/>
      <c r="I76" s="18"/>
      <c r="J76" s="18"/>
      <c r="K76" s="18"/>
      <c r="L76" s="18"/>
      <c r="M76" s="18"/>
      <c r="N76" s="18"/>
    </row>
    <row r="77" spans="1:14" x14ac:dyDescent="0.2">
      <c r="A77" s="95" t="s">
        <v>195</v>
      </c>
    </row>
    <row r="78" spans="1:14" x14ac:dyDescent="0.2">
      <c r="A78" s="92" t="s">
        <v>182</v>
      </c>
    </row>
    <row r="79" spans="1:14" x14ac:dyDescent="0.2">
      <c r="A79" s="95" t="s">
        <v>280</v>
      </c>
    </row>
    <row r="80" spans="1:14" x14ac:dyDescent="0.2">
      <c r="A80" s="92" t="s">
        <v>281</v>
      </c>
    </row>
    <row r="81" spans="1:1" x14ac:dyDescent="0.2">
      <c r="A81" s="92" t="s">
        <v>200</v>
      </c>
    </row>
    <row r="82" spans="1:1" x14ac:dyDescent="0.2">
      <c r="A82" s="92" t="s">
        <v>282</v>
      </c>
    </row>
    <row r="83" spans="1:1" x14ac:dyDescent="0.2">
      <c r="A83" s="95" t="s">
        <v>197</v>
      </c>
    </row>
    <row r="84" spans="1:1" x14ac:dyDescent="0.2">
      <c r="A84" s="92" t="s">
        <v>199</v>
      </c>
    </row>
    <row r="85" spans="1:1" x14ac:dyDescent="0.2">
      <c r="A85" s="92" t="s">
        <v>198</v>
      </c>
    </row>
    <row r="86" spans="1:1" x14ac:dyDescent="0.2">
      <c r="A86" s="95" t="s">
        <v>201</v>
      </c>
    </row>
    <row r="87" spans="1:1" x14ac:dyDescent="0.2">
      <c r="A87" s="92" t="s">
        <v>215</v>
      </c>
    </row>
    <row r="88" spans="1:1" x14ac:dyDescent="0.2">
      <c r="A88" s="92"/>
    </row>
    <row r="89" spans="1:1" x14ac:dyDescent="0.2">
      <c r="A89" s="95" t="s">
        <v>224</v>
      </c>
    </row>
    <row r="90" spans="1:1" x14ac:dyDescent="0.2">
      <c r="A90" s="97" t="s">
        <v>374</v>
      </c>
    </row>
    <row r="91" spans="1:1" x14ac:dyDescent="0.2">
      <c r="A91" s="92" t="s">
        <v>226</v>
      </c>
    </row>
    <row r="92" spans="1:1" x14ac:dyDescent="0.2">
      <c r="A92" s="92" t="s">
        <v>232</v>
      </c>
    </row>
    <row r="93" spans="1:1" x14ac:dyDescent="0.2">
      <c r="A93" s="92" t="s">
        <v>225</v>
      </c>
    </row>
    <row r="94" spans="1:1" x14ac:dyDescent="0.2">
      <c r="A94" s="97" t="s">
        <v>375</v>
      </c>
    </row>
    <row r="95" spans="1:1" x14ac:dyDescent="0.2">
      <c r="A95" s="92" t="s">
        <v>230</v>
      </c>
    </row>
    <row r="96" spans="1:1" x14ac:dyDescent="0.2">
      <c r="A96" s="92" t="s">
        <v>227</v>
      </c>
    </row>
    <row r="97" spans="1:1" x14ac:dyDescent="0.2">
      <c r="A97" s="92" t="s">
        <v>231</v>
      </c>
    </row>
    <row r="98" spans="1:1" x14ac:dyDescent="0.2">
      <c r="A98" s="98" t="s">
        <v>229</v>
      </c>
    </row>
    <row r="99" spans="1:1" x14ac:dyDescent="0.2">
      <c r="A99" s="92" t="s">
        <v>234</v>
      </c>
    </row>
    <row r="100" spans="1:1" x14ac:dyDescent="0.2">
      <c r="A100" s="92"/>
    </row>
    <row r="101" spans="1:1" x14ac:dyDescent="0.2">
      <c r="A101" s="95" t="s">
        <v>252</v>
      </c>
    </row>
    <row r="102" spans="1:1" x14ac:dyDescent="0.2">
      <c r="A102" s="97" t="s">
        <v>374</v>
      </c>
    </row>
    <row r="103" spans="1:1" x14ac:dyDescent="0.2">
      <c r="A103" s="92" t="s">
        <v>253</v>
      </c>
    </row>
    <row r="104" spans="1:1" x14ac:dyDescent="0.2">
      <c r="A104" s="97" t="s">
        <v>375</v>
      </c>
    </row>
    <row r="105" spans="1:1" x14ac:dyDescent="0.2">
      <c r="A105" s="92" t="s">
        <v>255</v>
      </c>
    </row>
    <row r="106" spans="1:1" x14ac:dyDescent="0.2">
      <c r="A106" s="98" t="s">
        <v>229</v>
      </c>
    </row>
    <row r="107" spans="1:1" x14ac:dyDescent="0.2">
      <c r="A107" s="92" t="s">
        <v>254</v>
      </c>
    </row>
    <row r="108" spans="1:1" x14ac:dyDescent="0.2">
      <c r="A108" s="92" t="s">
        <v>258</v>
      </c>
    </row>
    <row r="109" spans="1:1" x14ac:dyDescent="0.2">
      <c r="A109" s="98" t="s">
        <v>256</v>
      </c>
    </row>
    <row r="110" spans="1:1" x14ac:dyDescent="0.2">
      <c r="A110" s="92" t="s">
        <v>259</v>
      </c>
    </row>
    <row r="111" spans="1:1" x14ac:dyDescent="0.2">
      <c r="A111" s="92" t="s">
        <v>260</v>
      </c>
    </row>
    <row r="112" spans="1:1" x14ac:dyDescent="0.2">
      <c r="A112" s="98" t="s">
        <v>257</v>
      </c>
    </row>
    <row r="113" spans="1:1" x14ac:dyDescent="0.2">
      <c r="A113" s="92" t="s">
        <v>261</v>
      </c>
    </row>
    <row r="114" spans="1:1" x14ac:dyDescent="0.2">
      <c r="A114" s="98" t="s">
        <v>262</v>
      </c>
    </row>
    <row r="115" spans="1:1" x14ac:dyDescent="0.2">
      <c r="A115" s="92" t="s">
        <v>264</v>
      </c>
    </row>
    <row r="116" spans="1:1" x14ac:dyDescent="0.2">
      <c r="A116" s="92" t="s">
        <v>263</v>
      </c>
    </row>
    <row r="117" spans="1:1" x14ac:dyDescent="0.2">
      <c r="A117" s="92"/>
    </row>
    <row r="118" spans="1:1" x14ac:dyDescent="0.2">
      <c r="A118" s="95" t="s">
        <v>265</v>
      </c>
    </row>
    <row r="119" spans="1:1" x14ac:dyDescent="0.2">
      <c r="A119" s="98" t="s">
        <v>229</v>
      </c>
    </row>
    <row r="120" spans="1:1" x14ac:dyDescent="0.2">
      <c r="A120" s="92" t="s">
        <v>266</v>
      </c>
    </row>
    <row r="121" spans="1:1" x14ac:dyDescent="0.2">
      <c r="A121" s="92"/>
    </row>
    <row r="122" spans="1:1" x14ac:dyDescent="0.2">
      <c r="A122" s="95" t="s">
        <v>267</v>
      </c>
    </row>
    <row r="123" spans="1:1" x14ac:dyDescent="0.2">
      <c r="A123" s="98" t="s">
        <v>229</v>
      </c>
    </row>
    <row r="124" spans="1:1" x14ac:dyDescent="0.2">
      <c r="A124" s="92" t="s">
        <v>269</v>
      </c>
    </row>
    <row r="125" spans="1:1" x14ac:dyDescent="0.2">
      <c r="A125" s="92"/>
    </row>
    <row r="126" spans="1:1" x14ac:dyDescent="0.2">
      <c r="A126" s="95" t="s">
        <v>271</v>
      </c>
    </row>
    <row r="127" spans="1:1" x14ac:dyDescent="0.2">
      <c r="A127" s="98" t="s">
        <v>268</v>
      </c>
    </row>
    <row r="128" spans="1:1" x14ac:dyDescent="0.2">
      <c r="A128" s="92" t="s">
        <v>270</v>
      </c>
    </row>
    <row r="129" spans="1:1" x14ac:dyDescent="0.2">
      <c r="A129" s="92"/>
    </row>
    <row r="130" spans="1:1" x14ac:dyDescent="0.2">
      <c r="A130" s="95" t="s">
        <v>309</v>
      </c>
    </row>
    <row r="131" spans="1:1" x14ac:dyDescent="0.2">
      <c r="A131" s="92" t="s">
        <v>288</v>
      </c>
    </row>
    <row r="132" spans="1:1" x14ac:dyDescent="0.2">
      <c r="A132" s="92" t="s">
        <v>313</v>
      </c>
    </row>
    <row r="133" spans="1:1" x14ac:dyDescent="0.2">
      <c r="A133" s="92" t="s">
        <v>304</v>
      </c>
    </row>
    <row r="134" spans="1:1" x14ac:dyDescent="0.2">
      <c r="A134" s="92" t="s">
        <v>312</v>
      </c>
    </row>
    <row r="135" spans="1:1" x14ac:dyDescent="0.2">
      <c r="A135" s="92"/>
    </row>
    <row r="136" spans="1:1" x14ac:dyDescent="0.2">
      <c r="A136" s="95" t="s">
        <v>314</v>
      </c>
    </row>
    <row r="137" spans="1:1" x14ac:dyDescent="0.2">
      <c r="A137" s="92" t="s">
        <v>315</v>
      </c>
    </row>
    <row r="138" spans="1:1" x14ac:dyDescent="0.2">
      <c r="A138" s="92"/>
    </row>
    <row r="139" spans="1:1" x14ac:dyDescent="0.2">
      <c r="A139" s="95" t="s">
        <v>317</v>
      </c>
    </row>
    <row r="140" spans="1:1" x14ac:dyDescent="0.2">
      <c r="A140" s="92" t="s">
        <v>426</v>
      </c>
    </row>
    <row r="141" spans="1:1" x14ac:dyDescent="0.2">
      <c r="A141" s="92" t="s">
        <v>427</v>
      </c>
    </row>
    <row r="142" spans="1:1" x14ac:dyDescent="0.2">
      <c r="A142" s="92" t="s">
        <v>428</v>
      </c>
    </row>
    <row r="143" spans="1:1" x14ac:dyDescent="0.2">
      <c r="A143" s="92"/>
    </row>
    <row r="144" spans="1:1" x14ac:dyDescent="0.2">
      <c r="A144" s="92" t="s">
        <v>330</v>
      </c>
    </row>
    <row r="145" spans="1:1" x14ac:dyDescent="0.2">
      <c r="A145" s="99" t="s">
        <v>319</v>
      </c>
    </row>
    <row r="146" spans="1:1" x14ac:dyDescent="0.2">
      <c r="A146" s="92"/>
    </row>
    <row r="147" spans="1:1" x14ac:dyDescent="0.2">
      <c r="A147" s="95" t="s">
        <v>553</v>
      </c>
    </row>
    <row r="148" spans="1:1" x14ac:dyDescent="0.2">
      <c r="A148" s="92" t="s">
        <v>331</v>
      </c>
    </row>
    <row r="149" spans="1:1" x14ac:dyDescent="0.2">
      <c r="A149" s="92"/>
    </row>
    <row r="150" spans="1:1" x14ac:dyDescent="0.2">
      <c r="A150" s="95" t="s">
        <v>341</v>
      </c>
    </row>
    <row r="151" spans="1:1" x14ac:dyDescent="0.2">
      <c r="A151" s="92" t="s">
        <v>340</v>
      </c>
    </row>
    <row r="152" spans="1:1" x14ac:dyDescent="0.2">
      <c r="A152" s="92" t="s">
        <v>342</v>
      </c>
    </row>
    <row r="153" spans="1:1" x14ac:dyDescent="0.2">
      <c r="A153" s="92" t="s">
        <v>336</v>
      </c>
    </row>
    <row r="154" spans="1:1" x14ac:dyDescent="0.2">
      <c r="A154" s="92" t="s">
        <v>332</v>
      </c>
    </row>
    <row r="155" spans="1:1" x14ac:dyDescent="0.2">
      <c r="A155" s="92"/>
    </row>
    <row r="156" spans="1:1" x14ac:dyDescent="0.2">
      <c r="A156" s="95" t="s">
        <v>554</v>
      </c>
    </row>
    <row r="157" spans="1:1" x14ac:dyDescent="0.2">
      <c r="A157" s="92" t="s">
        <v>343</v>
      </c>
    </row>
    <row r="158" spans="1:1" x14ac:dyDescent="0.2">
      <c r="A158" s="92" t="s">
        <v>345</v>
      </c>
    </row>
    <row r="159" spans="1:1" x14ac:dyDescent="0.2">
      <c r="A159" s="92" t="s">
        <v>346</v>
      </c>
    </row>
    <row r="160" spans="1:1" x14ac:dyDescent="0.2">
      <c r="A160" s="92"/>
    </row>
    <row r="161" spans="1:1" x14ac:dyDescent="0.2">
      <c r="A161" s="95" t="s">
        <v>347</v>
      </c>
    </row>
    <row r="162" spans="1:1" x14ac:dyDescent="0.2">
      <c r="A162" s="92" t="s">
        <v>394</v>
      </c>
    </row>
    <row r="163" spans="1:1" x14ac:dyDescent="0.2">
      <c r="A163" s="92" t="s">
        <v>352</v>
      </c>
    </row>
    <row r="164" spans="1:1" x14ac:dyDescent="0.2">
      <c r="A164" s="92"/>
    </row>
    <row r="165" spans="1:1" x14ac:dyDescent="0.2">
      <c r="A165" s="95" t="s">
        <v>555</v>
      </c>
    </row>
    <row r="166" spans="1:1" x14ac:dyDescent="0.2">
      <c r="A166" s="92" t="s">
        <v>395</v>
      </c>
    </row>
    <row r="167" spans="1:1" x14ac:dyDescent="0.2">
      <c r="A167" s="92" t="s">
        <v>397</v>
      </c>
    </row>
    <row r="168" spans="1:1" x14ac:dyDescent="0.2">
      <c r="A168" s="92" t="s">
        <v>396</v>
      </c>
    </row>
    <row r="170" spans="1:1" x14ac:dyDescent="0.2">
      <c r="A170" s="95" t="s">
        <v>436</v>
      </c>
    </row>
    <row r="171" spans="1:1" x14ac:dyDescent="0.2">
      <c r="A171" s="92" t="s">
        <v>429</v>
      </c>
    </row>
    <row r="172" spans="1:1" x14ac:dyDescent="0.2">
      <c r="A172" s="92" t="s">
        <v>437</v>
      </c>
    </row>
    <row r="173" spans="1:1" x14ac:dyDescent="0.2">
      <c r="A173" s="92" t="s">
        <v>441</v>
      </c>
    </row>
    <row r="174" spans="1:1" x14ac:dyDescent="0.2">
      <c r="A174" s="92" t="s">
        <v>430</v>
      </c>
    </row>
    <row r="175" spans="1:1" x14ac:dyDescent="0.2">
      <c r="A175" s="92" t="s">
        <v>547</v>
      </c>
    </row>
    <row r="176" spans="1:1" x14ac:dyDescent="0.2">
      <c r="A176" s="92" t="s">
        <v>431</v>
      </c>
    </row>
    <row r="177" spans="1:1" x14ac:dyDescent="0.2">
      <c r="A177" s="92" t="s">
        <v>434</v>
      </c>
    </row>
    <row r="179" spans="1:1" x14ac:dyDescent="0.2">
      <c r="A179" s="95" t="s">
        <v>543</v>
      </c>
    </row>
    <row r="180" spans="1:1" x14ac:dyDescent="0.2">
      <c r="A180" s="97" t="s">
        <v>549</v>
      </c>
    </row>
    <row r="181" spans="1:1" x14ac:dyDescent="0.2">
      <c r="A181" s="97" t="s">
        <v>545</v>
      </c>
    </row>
    <row r="182" spans="1:1" x14ac:dyDescent="0.2">
      <c r="A182" s="92" t="s">
        <v>548</v>
      </c>
    </row>
    <row r="183" spans="1:1" x14ac:dyDescent="0.2">
      <c r="A183" s="92"/>
    </row>
    <row r="184" spans="1:1" x14ac:dyDescent="0.2">
      <c r="A184" s="95" t="s">
        <v>556</v>
      </c>
    </row>
    <row r="185" spans="1:1" x14ac:dyDescent="0.2">
      <c r="A185" s="92" t="s">
        <v>551</v>
      </c>
    </row>
    <row r="186" spans="1:1" x14ac:dyDescent="0.2">
      <c r="A186" s="92"/>
    </row>
    <row r="187" spans="1:1" x14ac:dyDescent="0.2">
      <c r="A187" s="98" t="s">
        <v>586</v>
      </c>
    </row>
    <row r="188" spans="1:1" x14ac:dyDescent="0.2">
      <c r="A188" s="97" t="s">
        <v>585</v>
      </c>
    </row>
    <row r="189" spans="1:1" x14ac:dyDescent="0.2">
      <c r="A189" s="92" t="s">
        <v>590</v>
      </c>
    </row>
    <row r="190" spans="1:1" x14ac:dyDescent="0.2">
      <c r="A190" s="92" t="s">
        <v>591</v>
      </c>
    </row>
    <row r="191" spans="1:1" x14ac:dyDescent="0.2">
      <c r="A191" s="92" t="s">
        <v>592</v>
      </c>
    </row>
    <row r="192" spans="1:1" x14ac:dyDescent="0.2">
      <c r="A192" s="92" t="s">
        <v>588</v>
      </c>
    </row>
    <row r="193" spans="1:1" x14ac:dyDescent="0.2">
      <c r="A193" s="92" t="s">
        <v>587</v>
      </c>
    </row>
    <row r="194" spans="1:1" x14ac:dyDescent="0.2">
      <c r="A194" s="92"/>
    </row>
    <row r="195" spans="1:1" x14ac:dyDescent="0.2">
      <c r="A195" s="98" t="s">
        <v>627</v>
      </c>
    </row>
    <row r="196" spans="1:1" x14ac:dyDescent="0.2">
      <c r="A196" s="97" t="s">
        <v>593</v>
      </c>
    </row>
    <row r="197" spans="1:1" x14ac:dyDescent="0.2">
      <c r="A197" s="92" t="s">
        <v>623</v>
      </c>
    </row>
    <row r="198" spans="1:1" x14ac:dyDescent="0.2">
      <c r="A198" s="92"/>
    </row>
    <row r="199" spans="1:1" x14ac:dyDescent="0.2">
      <c r="A199" s="92"/>
    </row>
    <row r="200" spans="1:1" x14ac:dyDescent="0.2">
      <c r="A200" s="92"/>
    </row>
    <row r="201" spans="1:1" x14ac:dyDescent="0.2">
      <c r="A201" s="92"/>
    </row>
    <row r="202" spans="1:1" x14ac:dyDescent="0.2">
      <c r="A202" s="92"/>
    </row>
    <row r="203" spans="1:1" x14ac:dyDescent="0.2">
      <c r="A203" s="92"/>
    </row>
    <row r="204" spans="1:1" x14ac:dyDescent="0.2">
      <c r="A204" s="92"/>
    </row>
    <row r="205" spans="1:1" x14ac:dyDescent="0.2">
      <c r="A205" s="92"/>
    </row>
    <row r="206" spans="1:1" x14ac:dyDescent="0.2">
      <c r="A206" s="92"/>
    </row>
    <row r="207" spans="1:1" x14ac:dyDescent="0.2">
      <c r="A207" s="92"/>
    </row>
    <row r="208" spans="1:1" x14ac:dyDescent="0.2">
      <c r="A208" s="92"/>
    </row>
    <row r="209" spans="1:1" x14ac:dyDescent="0.2">
      <c r="A209" s="92"/>
    </row>
    <row r="210" spans="1:1" x14ac:dyDescent="0.2">
      <c r="A210" s="92"/>
    </row>
    <row r="211" spans="1:1" x14ac:dyDescent="0.2">
      <c r="A211" s="92"/>
    </row>
    <row r="212" spans="1:1" x14ac:dyDescent="0.2">
      <c r="A212" s="92"/>
    </row>
    <row r="213" spans="1:1" x14ac:dyDescent="0.2">
      <c r="A213" s="92"/>
    </row>
    <row r="214" spans="1:1" x14ac:dyDescent="0.2">
      <c r="A214" s="92"/>
    </row>
    <row r="215" spans="1:1" x14ac:dyDescent="0.2">
      <c r="A215" s="92"/>
    </row>
    <row r="216" spans="1:1" x14ac:dyDescent="0.2">
      <c r="A216" s="92"/>
    </row>
    <row r="217" spans="1:1" x14ac:dyDescent="0.2">
      <c r="A217" s="92"/>
    </row>
    <row r="218" spans="1:1" x14ac:dyDescent="0.2">
      <c r="A218" s="92"/>
    </row>
    <row r="219" spans="1:1" x14ac:dyDescent="0.2">
      <c r="A219" s="92"/>
    </row>
    <row r="220" spans="1:1" x14ac:dyDescent="0.2">
      <c r="A220" s="92"/>
    </row>
    <row r="221" spans="1:1" x14ac:dyDescent="0.2">
      <c r="A221" s="92"/>
    </row>
    <row r="222" spans="1:1" x14ac:dyDescent="0.2">
      <c r="A222" s="92"/>
    </row>
    <row r="223" spans="1:1" x14ac:dyDescent="0.2">
      <c r="A223" s="92"/>
    </row>
    <row r="224" spans="1:1" x14ac:dyDescent="0.2">
      <c r="A224" s="92"/>
    </row>
    <row r="225" spans="1:1" x14ac:dyDescent="0.2">
      <c r="A225" s="92"/>
    </row>
    <row r="226" spans="1:1" x14ac:dyDescent="0.2">
      <c r="A226" s="92"/>
    </row>
    <row r="227" spans="1:1" x14ac:dyDescent="0.2">
      <c r="A227" s="92"/>
    </row>
  </sheetData>
  <sheetProtection algorithmName="SHA-512" hashValue="yrNQWaSkVzv5UIK5n9k6kxyK8kMnIiwxjOsVUmVyPO4FoGqWqGAJeH7B23NvfZ2rAN2fGA7AXKjPRVfxIHqayg==" saltValue="Odv/6kA600scq5oxN4Jvzg==" spinCount="100000" sheet="1" selectLockedCells="1"/>
  <pageMargins left="0.45" right="0.53125" top="0.5" bottom="0.5" header="0" footer="0.05"/>
  <pageSetup paperSize="3" orientation="landscape" r:id="rId1"/>
  <headerFooter>
    <oddHeader xml:space="preserve">&amp;C.
</oddHeader>
    <oddFooter>&amp;C
&amp;R&amp;F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CC66"/>
    <pageSetUpPr fitToPage="1"/>
  </sheetPr>
  <dimension ref="A1:H54"/>
  <sheetViews>
    <sheetView zoomScale="90" zoomScaleNormal="90" workbookViewId="0">
      <selection activeCell="A100" sqref="A100"/>
    </sheetView>
  </sheetViews>
  <sheetFormatPr defaultColWidth="8.85546875" defaultRowHeight="12.75" x14ac:dyDescent="0.2"/>
  <cols>
    <col min="1" max="1" width="7.5703125" customWidth="1"/>
    <col min="2" max="2" width="38.85546875" customWidth="1"/>
    <col min="3" max="3" width="23.28515625" customWidth="1"/>
    <col min="4" max="7" width="18.7109375" customWidth="1"/>
    <col min="8" max="8" width="20.7109375" customWidth="1"/>
  </cols>
  <sheetData>
    <row r="1" spans="1:8" ht="44.85" customHeight="1" x14ac:dyDescent="0.25">
      <c r="A1" s="370" t="s">
        <v>153</v>
      </c>
      <c r="B1" s="371" t="s">
        <v>579</v>
      </c>
      <c r="C1" s="403" t="s">
        <v>393</v>
      </c>
      <c r="D1" s="373" t="str">
        <f>'Input Pg1'!F1</f>
        <v>2025 Q3</v>
      </c>
      <c r="E1" s="374" t="s">
        <v>442</v>
      </c>
      <c r="F1" s="375">
        <f>IF('OG units'!F1=0, 'YG units'!F1,'OG units'!F1)</f>
        <v>0</v>
      </c>
      <c r="G1" s="503" t="s">
        <v>500</v>
      </c>
      <c r="H1" s="376">
        <f>IF('OG units'!I1=0, 'YG units'!I1,'OG units'!I1)</f>
        <v>0</v>
      </c>
    </row>
    <row r="2" spans="1:8" ht="11.65" customHeight="1" x14ac:dyDescent="0.2">
      <c r="A2" s="121"/>
      <c r="B2" s="121"/>
      <c r="C2" s="377"/>
      <c r="D2" s="377"/>
      <c r="E2" s="377"/>
      <c r="F2" s="99"/>
      <c r="G2" s="378"/>
      <c r="H2" s="121"/>
    </row>
    <row r="3" spans="1:8" x14ac:dyDescent="0.2">
      <c r="A3" s="121"/>
      <c r="B3" s="121" t="s">
        <v>170</v>
      </c>
      <c r="C3" s="377">
        <f>+C8/$H$8</f>
        <v>0.19999999999999998</v>
      </c>
      <c r="D3" s="377">
        <f>+D8/$H$8</f>
        <v>0.19999999999999998</v>
      </c>
      <c r="E3" s="377">
        <f>+E8/$H$8</f>
        <v>0.19999999999999998</v>
      </c>
      <c r="F3" s="377">
        <f>+F8/$H$8</f>
        <v>0.19999999999999998</v>
      </c>
      <c r="G3" s="377">
        <f>+G8/$H$8</f>
        <v>0.19999999999999998</v>
      </c>
      <c r="H3" s="121"/>
    </row>
    <row r="4" spans="1:8" x14ac:dyDescent="0.2">
      <c r="A4" s="99">
        <v>1</v>
      </c>
      <c r="B4" s="99" t="s">
        <v>18</v>
      </c>
      <c r="C4" s="283" t="s">
        <v>526</v>
      </c>
      <c r="D4" s="283" t="s">
        <v>527</v>
      </c>
      <c r="E4" s="283" t="s">
        <v>84</v>
      </c>
      <c r="F4" s="283" t="s">
        <v>85</v>
      </c>
      <c r="G4" s="283" t="s">
        <v>86</v>
      </c>
      <c r="H4" s="379" t="s">
        <v>1</v>
      </c>
    </row>
    <row r="5" spans="1:8" x14ac:dyDescent="0.2">
      <c r="A5" s="99">
        <v>2</v>
      </c>
      <c r="B5" s="99" t="s">
        <v>2</v>
      </c>
      <c r="C5" s="380" t="s">
        <v>22</v>
      </c>
      <c r="D5" s="380" t="s">
        <v>145</v>
      </c>
      <c r="E5" s="380" t="s">
        <v>251</v>
      </c>
      <c r="F5" s="380" t="s">
        <v>21</v>
      </c>
      <c r="G5" s="380">
        <v>242</v>
      </c>
      <c r="H5" s="379" t="s">
        <v>0</v>
      </c>
    </row>
    <row r="6" spans="1:8" x14ac:dyDescent="0.2">
      <c r="A6" s="99">
        <v>3</v>
      </c>
      <c r="B6" s="99" t="s">
        <v>211</v>
      </c>
      <c r="C6" s="380" t="s">
        <v>205</v>
      </c>
      <c r="D6" s="380" t="s">
        <v>205</v>
      </c>
      <c r="E6" s="380" t="s">
        <v>205</v>
      </c>
      <c r="F6" s="380" t="s">
        <v>205</v>
      </c>
      <c r="G6" s="380" t="s">
        <v>205</v>
      </c>
      <c r="H6" s="380" t="s">
        <v>205</v>
      </c>
    </row>
    <row r="7" spans="1:8" x14ac:dyDescent="0.2">
      <c r="A7" s="99">
        <v>4</v>
      </c>
      <c r="B7" s="99" t="s">
        <v>19</v>
      </c>
      <c r="C7" s="379" t="s">
        <v>20</v>
      </c>
      <c r="D7" s="379" t="s">
        <v>20</v>
      </c>
      <c r="E7" s="379" t="s">
        <v>20</v>
      </c>
      <c r="F7" s="379" t="s">
        <v>20</v>
      </c>
      <c r="G7" s="379" t="s">
        <v>20</v>
      </c>
      <c r="H7" s="379" t="s">
        <v>20</v>
      </c>
    </row>
    <row r="8" spans="1:8" x14ac:dyDescent="0.2">
      <c r="A8" s="99">
        <v>5</v>
      </c>
      <c r="B8" s="170" t="s">
        <v>36</v>
      </c>
      <c r="C8" s="381">
        <f>IF('Input Pg1'!C54+'Input Pg1'!C55=0,0.00000000000001,'Input Pg1'!C54+'Input Pg1'!C55)</f>
        <v>1E-14</v>
      </c>
      <c r="D8" s="381">
        <f>IF('Input Pg1'!C56=0,0.00000000000001,'Input Pg1'!C56)</f>
        <v>1E-14</v>
      </c>
      <c r="E8" s="381">
        <f>IF('Input Pg1'!C57=0,0.00000000000001,'Input Pg1'!C57)</f>
        <v>1E-14</v>
      </c>
      <c r="F8" s="381">
        <f>IF('Input Pg1'!C58=0,0.00000000000001,'Input Pg1'!C58)</f>
        <v>1E-14</v>
      </c>
      <c r="G8" s="381">
        <f>IF('Input Pg1'!C59=0,0.00000000000001,'Input Pg1'!C59)</f>
        <v>1E-14</v>
      </c>
      <c r="H8" s="381">
        <f>IF('Input Pg1'!C9="YG needs to equal OG","Check OG &amp; YG DIB",C8+D8+E8+F8+G8)</f>
        <v>5.0000000000000002E-14</v>
      </c>
    </row>
    <row r="9" spans="1:8" x14ac:dyDescent="0.2">
      <c r="A9" s="99">
        <v>6</v>
      </c>
      <c r="B9" s="170" t="s">
        <v>210</v>
      </c>
      <c r="C9" s="382">
        <f>'Project SV mfg'!B4</f>
        <v>0</v>
      </c>
      <c r="D9" s="382">
        <f>'Project SV mfg'!C4</f>
        <v>0</v>
      </c>
      <c r="E9" s="382">
        <f>'Project SV mfg'!D4</f>
        <v>0</v>
      </c>
      <c r="F9" s="382">
        <f>'Project SV mfg'!E4</f>
        <v>0</v>
      </c>
      <c r="G9" s="382">
        <f>'Project SV mfg'!F4</f>
        <v>0</v>
      </c>
      <c r="H9" s="383">
        <f>(C9*$C$8+D9*$D$8+E9*$E$8+F9*$F$8+G9*$G$8)/$H$8</f>
        <v>0</v>
      </c>
    </row>
    <row r="10" spans="1:8" x14ac:dyDescent="0.2">
      <c r="A10" s="99">
        <v>7</v>
      </c>
      <c r="B10" s="170" t="s">
        <v>14</v>
      </c>
      <c r="C10" s="382">
        <f>IF(C9=0,0,'Project SV mfg'!B11)</f>
        <v>0</v>
      </c>
      <c r="D10" s="382">
        <f>IF(D8=0,0,'Project SV mfg'!C11)</f>
        <v>0</v>
      </c>
      <c r="E10" s="382">
        <f>IF(E8=0,0,'Project SV mfg'!D11)</f>
        <v>0</v>
      </c>
      <c r="F10" s="382">
        <f>IF(F8=0,0,'Project SV mfg'!E11)</f>
        <v>0</v>
      </c>
      <c r="G10" s="382">
        <f>IF(G8=0,0,'Project SV mfg'!F11)</f>
        <v>0</v>
      </c>
      <c r="H10" s="383">
        <f>(C10*$C$8+D10*$D$8+E10*$E$8+F10*$F$8+G10*$G$8)/$H$8</f>
        <v>0</v>
      </c>
    </row>
    <row r="11" spans="1:8" x14ac:dyDescent="0.2">
      <c r="A11" s="99">
        <v>8</v>
      </c>
      <c r="B11" s="170" t="s">
        <v>70</v>
      </c>
      <c r="C11" s="384">
        <f t="shared" ref="C11:H11" si="0">C9-C10</f>
        <v>0</v>
      </c>
      <c r="D11" s="384">
        <f t="shared" si="0"/>
        <v>0</v>
      </c>
      <c r="E11" s="384">
        <f t="shared" si="0"/>
        <v>0</v>
      </c>
      <c r="F11" s="384">
        <f t="shared" si="0"/>
        <v>0</v>
      </c>
      <c r="G11" s="384">
        <f t="shared" si="0"/>
        <v>0</v>
      </c>
      <c r="H11" s="384">
        <f t="shared" si="0"/>
        <v>0</v>
      </c>
    </row>
    <row r="12" spans="1:8" x14ac:dyDescent="0.2">
      <c r="A12" s="287">
        <v>9</v>
      </c>
      <c r="B12" s="99" t="s">
        <v>107</v>
      </c>
      <c r="C12" s="382">
        <f>IF(C9=0,0,LoggingCosts!$D$8)</f>
        <v>0</v>
      </c>
      <c r="D12" s="382">
        <f>IF(D9=0,0,LoggingCosts!$D$8)</f>
        <v>0</v>
      </c>
      <c r="E12" s="382">
        <f>IF(E9=0,0,LoggingCosts!$D$8)</f>
        <v>0</v>
      </c>
      <c r="F12" s="382">
        <f>IF(F9=0,0,LoggingCosts!$D$8)</f>
        <v>0</v>
      </c>
      <c r="G12" s="382">
        <f>IF(G9=0,0,LoggingCosts!$D$8)</f>
        <v>0</v>
      </c>
      <c r="H12" s="312">
        <f>(C12*$C$8+D12*$D$8+E12*$E$8+F12*$F$8+G12*$G$8)/$H$8</f>
        <v>0</v>
      </c>
    </row>
    <row r="13" spans="1:8" x14ac:dyDescent="0.2">
      <c r="A13" s="99">
        <v>10</v>
      </c>
      <c r="B13" s="99" t="s">
        <v>204</v>
      </c>
      <c r="C13" s="382">
        <f>IF(C9=0,0,LoggingCosts!$D$9)</f>
        <v>0</v>
      </c>
      <c r="D13" s="382">
        <f>IF(D9=0,0,LoggingCosts!$D$9)</f>
        <v>0</v>
      </c>
      <c r="E13" s="382">
        <f>IF(E9=0,0,LoggingCosts!$D$9)</f>
        <v>0</v>
      </c>
      <c r="F13" s="382">
        <f>IF(F9=0,0,LoggingCosts!$D$9)</f>
        <v>0</v>
      </c>
      <c r="G13" s="382">
        <f>IF(G9=0,0,LoggingCosts!$D$9)</f>
        <v>0</v>
      </c>
      <c r="H13" s="312">
        <f t="shared" ref="H13:H26" si="1">(C13*$C$8+D13*$D$8+E13*$E$8+F13*$F$8+G13*$G$8)/$H$8</f>
        <v>0</v>
      </c>
    </row>
    <row r="14" spans="1:8" x14ac:dyDescent="0.2">
      <c r="A14" s="99">
        <v>11</v>
      </c>
      <c r="B14" s="170" t="s">
        <v>108</v>
      </c>
      <c r="C14" s="382">
        <f>IF(C9=0,0,LoggingCosts!$D$11)</f>
        <v>0</v>
      </c>
      <c r="D14" s="382">
        <f>IF(D9=0,0,LoggingCosts!$D$11)</f>
        <v>0</v>
      </c>
      <c r="E14" s="382">
        <f>IF(E9=0,0,LoggingCosts!$D$11)</f>
        <v>0</v>
      </c>
      <c r="F14" s="382">
        <f>IF(F9=0,0,LoggingCosts!$D$11)</f>
        <v>0</v>
      </c>
      <c r="G14" s="382">
        <f>IF(G9=0,0,LoggingCosts!$D$11)</f>
        <v>0</v>
      </c>
      <c r="H14" s="383">
        <f t="shared" si="1"/>
        <v>0</v>
      </c>
    </row>
    <row r="15" spans="1:8" x14ac:dyDescent="0.2">
      <c r="A15" s="99">
        <v>12</v>
      </c>
      <c r="B15" s="99" t="s">
        <v>10</v>
      </c>
      <c r="C15" s="382">
        <f>IF(C9=0,0,LoggingCosts!$C$14/$H$8)</f>
        <v>0</v>
      </c>
      <c r="D15" s="382">
        <f>IF(D9=0,0,LoggingCosts!$C$14/$H$8)</f>
        <v>0</v>
      </c>
      <c r="E15" s="382">
        <f>IF(E9=0,0,LoggingCosts!$C$14/$H$8)</f>
        <v>0</v>
      </c>
      <c r="F15" s="382">
        <f>IF(F9=0,0,LoggingCosts!$C$14/$H$8)</f>
        <v>0</v>
      </c>
      <c r="G15" s="382">
        <f>IF(G9=0,0,LoggingCosts!$C$14/$H$8)</f>
        <v>0</v>
      </c>
      <c r="H15" s="312">
        <f t="shared" si="1"/>
        <v>0</v>
      </c>
    </row>
    <row r="16" spans="1:8" x14ac:dyDescent="0.2">
      <c r="A16" s="99">
        <v>13</v>
      </c>
      <c r="B16" s="99" t="s">
        <v>577</v>
      </c>
      <c r="C16" s="382">
        <f>IF(C9=0,0,(NOTES!$C$26+NOTES!$D$26+NOTES!$I$27)/$H$8)</f>
        <v>0</v>
      </c>
      <c r="D16" s="382">
        <f>IF(D9=0,0,(NOTES!$C$26+NOTES!$D$26+NOTES!$I$27)/$H$8)</f>
        <v>0</v>
      </c>
      <c r="E16" s="382">
        <f>IF(E9=0,0,(NOTES!$C$26+NOTES!$D$26+NOTES!$I$27)/$H$8)</f>
        <v>0</v>
      </c>
      <c r="F16" s="382">
        <f>IF(F9=0,0,(NOTES!$C$26+NOTES!$D$26+NOTES!$I$27)/$H$8)</f>
        <v>0</v>
      </c>
      <c r="G16" s="382">
        <f>IF(G9=0,0,(NOTES!$C$26+NOTES!$D$26+NOTES!$I$27)/$H$8)</f>
        <v>0</v>
      </c>
      <c r="H16" s="312">
        <f t="shared" si="1"/>
        <v>0</v>
      </c>
    </row>
    <row r="17" spans="1:8" x14ac:dyDescent="0.2">
      <c r="A17" s="99">
        <v>14</v>
      </c>
      <c r="B17" s="99" t="s">
        <v>11</v>
      </c>
      <c r="C17" s="382">
        <f>IF(C9=0,0,LoggingCosts!$D$16)</f>
        <v>0</v>
      </c>
      <c r="D17" s="382">
        <f>IF(D9=0,0,LoggingCosts!$D$16)</f>
        <v>0</v>
      </c>
      <c r="E17" s="382">
        <f>IF(E9=0,0,LoggingCosts!$D$16)</f>
        <v>0</v>
      </c>
      <c r="F17" s="382">
        <f>IF(F9=0,0,LoggingCosts!$D$16)</f>
        <v>0</v>
      </c>
      <c r="G17" s="382">
        <f>IF(G9=0,0,LoggingCosts!$D$16)</f>
        <v>0</v>
      </c>
      <c r="H17" s="312">
        <f t="shared" si="1"/>
        <v>0</v>
      </c>
    </row>
    <row r="18" spans="1:8" x14ac:dyDescent="0.2">
      <c r="A18" s="99">
        <v>15</v>
      </c>
      <c r="B18" s="99" t="s">
        <v>348</v>
      </c>
      <c r="C18" s="382">
        <f>IF(C9=0,0,LoggingCosts!$D$17)</f>
        <v>0</v>
      </c>
      <c r="D18" s="382">
        <f>IF(D9=0,0,LoggingCosts!$D$17)</f>
        <v>0</v>
      </c>
      <c r="E18" s="382">
        <f>IF(E9=0,0,LoggingCosts!$D$17)</f>
        <v>0</v>
      </c>
      <c r="F18" s="382">
        <f>IF(F9=0,0,LoggingCosts!$D$17)</f>
        <v>0</v>
      </c>
      <c r="G18" s="382">
        <f>IF(G9=0,0,LoggingCosts!$D$17)</f>
        <v>0</v>
      </c>
      <c r="H18" s="312">
        <f t="shared" si="1"/>
        <v>0</v>
      </c>
    </row>
    <row r="19" spans="1:8" x14ac:dyDescent="0.2">
      <c r="A19" s="99">
        <v>16</v>
      </c>
      <c r="B19" s="99" t="s">
        <v>44</v>
      </c>
      <c r="C19" s="382">
        <f>IF(C9=0,0,LoggingCosts!$D$18)</f>
        <v>0</v>
      </c>
      <c r="D19" s="382">
        <f>IF(D9=0,0,LoggingCosts!$D$18)</f>
        <v>0</v>
      </c>
      <c r="E19" s="382">
        <f>IF(E9=0,0,LoggingCosts!$D$18)</f>
        <v>0</v>
      </c>
      <c r="F19" s="382">
        <f>IF(F9=0,0,LoggingCosts!$D$18)</f>
        <v>0</v>
      </c>
      <c r="G19" s="382">
        <f>IF(G9=0,0,LoggingCosts!$D$18)</f>
        <v>0</v>
      </c>
      <c r="H19" s="312">
        <f t="shared" si="1"/>
        <v>0</v>
      </c>
    </row>
    <row r="20" spans="1:8" x14ac:dyDescent="0.2">
      <c r="A20" s="99">
        <v>17</v>
      </c>
      <c r="B20" s="99" t="s">
        <v>161</v>
      </c>
      <c r="C20" s="382">
        <f>IF(C9=0,0,LoggingCosts!$D$21)</f>
        <v>0</v>
      </c>
      <c r="D20" s="382">
        <f>IF(D9=0,0,LoggingCosts!$D$21)</f>
        <v>0</v>
      </c>
      <c r="E20" s="382">
        <f>IF(E9=0,0,LoggingCosts!$D$21)</f>
        <v>0</v>
      </c>
      <c r="F20" s="382">
        <f>IF(F9=0,0,LoggingCosts!$D$21)</f>
        <v>0</v>
      </c>
      <c r="G20" s="382">
        <f>IF(G9=0,0,LoggingCosts!$D$21)</f>
        <v>0</v>
      </c>
      <c r="H20" s="312">
        <f t="shared" si="1"/>
        <v>0</v>
      </c>
    </row>
    <row r="21" spans="1:8" x14ac:dyDescent="0.2">
      <c r="A21" s="99">
        <v>18</v>
      </c>
      <c r="B21" s="170" t="s">
        <v>43</v>
      </c>
      <c r="C21" s="385">
        <f>C20+C19+C18+C17+C16+C15+C14</f>
        <v>0</v>
      </c>
      <c r="D21" s="385">
        <f>D20+D19+D18+D17+D16+D15+D14</f>
        <v>0</v>
      </c>
      <c r="E21" s="385">
        <f>E20+E19+E18+E17+E16+E15+E14</f>
        <v>0</v>
      </c>
      <c r="F21" s="385">
        <f>F20+F19+F18+F17+F16+F15+F14</f>
        <v>0</v>
      </c>
      <c r="G21" s="385">
        <f>G20+G19+G18+G17+G16+G15+G14</f>
        <v>0</v>
      </c>
      <c r="H21" s="383">
        <f t="shared" si="1"/>
        <v>0</v>
      </c>
    </row>
    <row r="22" spans="1:8" x14ac:dyDescent="0.2">
      <c r="A22" s="99">
        <v>19</v>
      </c>
      <c r="B22" s="99" t="s">
        <v>13</v>
      </c>
      <c r="C22" s="382">
        <f>IF(C9=0,0,LoggingCosts!$D$23)</f>
        <v>0</v>
      </c>
      <c r="D22" s="382">
        <f>IF(D9=0,0,LoggingCosts!$D$23)</f>
        <v>0</v>
      </c>
      <c r="E22" s="382">
        <f>IF(E9=0,0,LoggingCosts!$D$23)</f>
        <v>0</v>
      </c>
      <c r="F22" s="382">
        <f>IF(F9=0,0,LoggingCosts!$D$23)</f>
        <v>0</v>
      </c>
      <c r="G22" s="382">
        <f>IF(G9=0,0,LoggingCosts!$D$23)</f>
        <v>0</v>
      </c>
      <c r="H22" s="312">
        <f t="shared" si="1"/>
        <v>0</v>
      </c>
    </row>
    <row r="23" spans="1:8" x14ac:dyDescent="0.2">
      <c r="A23" s="99">
        <v>20</v>
      </c>
      <c r="B23" s="99" t="s">
        <v>12</v>
      </c>
      <c r="C23" s="382">
        <f>IF(C9=0,0,LoggingCosts!$D$24)</f>
        <v>0</v>
      </c>
      <c r="D23" s="382">
        <f>IF(D9=0,0,LoggingCosts!$D$24)</f>
        <v>0</v>
      </c>
      <c r="E23" s="382">
        <f>IF(E9=0,0,LoggingCosts!$D$24)</f>
        <v>0</v>
      </c>
      <c r="F23" s="382">
        <f>IF(F9=0,0,LoggingCosts!$D$24)</f>
        <v>0</v>
      </c>
      <c r="G23" s="382">
        <f>IF(G9=0,0,LoggingCosts!$D$24)</f>
        <v>0</v>
      </c>
      <c r="H23" s="312">
        <f t="shared" si="1"/>
        <v>0</v>
      </c>
    </row>
    <row r="24" spans="1:8" x14ac:dyDescent="0.2">
      <c r="A24" s="99">
        <v>21</v>
      </c>
      <c r="B24" s="170" t="s">
        <v>383</v>
      </c>
      <c r="C24" s="382">
        <f>C23+C22+C21</f>
        <v>0</v>
      </c>
      <c r="D24" s="382">
        <f>D23+D22+D21</f>
        <v>0</v>
      </c>
      <c r="E24" s="382">
        <f>E23+E22+E21</f>
        <v>0</v>
      </c>
      <c r="F24" s="382">
        <f>F23+F22+F21</f>
        <v>0</v>
      </c>
      <c r="G24" s="382">
        <f>G23+G22+G21</f>
        <v>0</v>
      </c>
      <c r="H24" s="383">
        <f t="shared" si="1"/>
        <v>0</v>
      </c>
    </row>
    <row r="25" spans="1:8" x14ac:dyDescent="0.2">
      <c r="A25" s="99">
        <v>22</v>
      </c>
      <c r="B25" s="170" t="s">
        <v>15</v>
      </c>
      <c r="C25" s="382">
        <f>C10+C24</f>
        <v>0</v>
      </c>
      <c r="D25" s="382">
        <f>D10+D24</f>
        <v>0</v>
      </c>
      <c r="E25" s="382">
        <f>E10+E24</f>
        <v>0</v>
      </c>
      <c r="F25" s="382">
        <f>F10+F24</f>
        <v>0</v>
      </c>
      <c r="G25" s="382">
        <f>G10+G24</f>
        <v>0</v>
      </c>
      <c r="H25" s="383">
        <f t="shared" si="1"/>
        <v>0</v>
      </c>
    </row>
    <row r="26" spans="1:8" x14ac:dyDescent="0.2">
      <c r="A26" s="99">
        <v>23</v>
      </c>
      <c r="B26" s="99" t="s">
        <v>16</v>
      </c>
      <c r="C26" s="382">
        <f>C9-C25</f>
        <v>0</v>
      </c>
      <c r="D26" s="382">
        <f>D9-D25</f>
        <v>0</v>
      </c>
      <c r="E26" s="382">
        <f>E9-E25</f>
        <v>0</v>
      </c>
      <c r="F26" s="382">
        <f>F9-F25</f>
        <v>0</v>
      </c>
      <c r="G26" s="382">
        <f>G9-G25</f>
        <v>0</v>
      </c>
      <c r="H26" s="312">
        <f t="shared" si="1"/>
        <v>0</v>
      </c>
    </row>
    <row r="27" spans="1:8" x14ac:dyDescent="0.2">
      <c r="A27" s="99">
        <v>24</v>
      </c>
      <c r="B27" s="99" t="s">
        <v>52</v>
      </c>
      <c r="C27" s="386">
        <f>IF(C9=0,0,'BY24 Update'!H18)</f>
        <v>0</v>
      </c>
      <c r="D27" s="386">
        <f>IF(D9=0,0,'BY24 Update'!H18)</f>
        <v>0</v>
      </c>
      <c r="E27" s="386">
        <f>IF(E9=0,0,'BY24 Update'!H18)</f>
        <v>0</v>
      </c>
      <c r="F27" s="386">
        <f>IF(F9=0,0,'BY24 Update'!H18)</f>
        <v>0</v>
      </c>
      <c r="G27" s="386">
        <f>IF(G9=0,0,'BY24 Update'!H18)</f>
        <v>0</v>
      </c>
      <c r="H27" s="386">
        <f>IF(H9=0,0,'BY24 Update'!H18)</f>
        <v>0</v>
      </c>
    </row>
    <row r="28" spans="1:8" x14ac:dyDescent="0.2">
      <c r="A28" s="99">
        <v>25</v>
      </c>
      <c r="B28" s="99" t="s">
        <v>53</v>
      </c>
      <c r="C28" s="387">
        <f>C27*C9</f>
        <v>0</v>
      </c>
      <c r="D28" s="387">
        <f>D27*D9</f>
        <v>0</v>
      </c>
      <c r="E28" s="387">
        <f>E27*E9</f>
        <v>0</v>
      </c>
      <c r="F28" s="387">
        <f>F27*F9</f>
        <v>0</v>
      </c>
      <c r="G28" s="387">
        <f>G27*G9</f>
        <v>0</v>
      </c>
      <c r="H28" s="312">
        <f>(C28*$C$8+D28*$D$8+E28*$E$8+F28*$F$8+G28*$G$8)/$H$8</f>
        <v>0</v>
      </c>
    </row>
    <row r="29" spans="1:8" x14ac:dyDescent="0.2">
      <c r="A29" s="99">
        <v>26</v>
      </c>
      <c r="B29" s="170" t="s">
        <v>17</v>
      </c>
      <c r="C29" s="382">
        <f>IF(C9=0,0,C9-C25-C28+($H$35*C8/$H$8/C8))</f>
        <v>0</v>
      </c>
      <c r="D29" s="382">
        <f>IF(D9=0,0,D9-D25-D28+($H$35*D8/$H$8/D8))</f>
        <v>0</v>
      </c>
      <c r="E29" s="382">
        <f>IF(E9=0,0,E9-E25-E28+($H$35*E8/$H$8/E8))</f>
        <v>0</v>
      </c>
      <c r="F29" s="382">
        <f>IF(F9=0,0,F9-F25-F28+($H$35*F8/$H$8/F8))</f>
        <v>0</v>
      </c>
      <c r="G29" s="382">
        <f>IF(G9=0,0,G9-G25-G28+($H$35*G8/$H$8/G8))</f>
        <v>0</v>
      </c>
      <c r="H29" s="384">
        <f>(C29*$C$8+D29*$D$8+E29*$E$8+F29*$F$8+G29*$G$8)/$H$8</f>
        <v>0</v>
      </c>
    </row>
    <row r="30" spans="1:8" x14ac:dyDescent="0.2">
      <c r="A30" s="99">
        <v>27</v>
      </c>
      <c r="B30" s="170" t="s">
        <v>212</v>
      </c>
      <c r="C30" s="388">
        <f>(C29*C8)</f>
        <v>0</v>
      </c>
      <c r="D30" s="388">
        <f>(D29*D8)</f>
        <v>0</v>
      </c>
      <c r="E30" s="388">
        <f>(E29*E8)</f>
        <v>0</v>
      </c>
      <c r="F30" s="388">
        <f>(F29*F8)</f>
        <v>0</v>
      </c>
      <c r="G30" s="388">
        <f>(G29*G8)</f>
        <v>0</v>
      </c>
      <c r="H30" s="389">
        <f>SUM(C30:G30)</f>
        <v>0</v>
      </c>
    </row>
    <row r="31" spans="1:8" x14ac:dyDescent="0.2">
      <c r="A31" s="99">
        <v>28</v>
      </c>
      <c r="B31" s="99" t="s">
        <v>23</v>
      </c>
      <c r="C31" s="390">
        <f>IF(C9=0,0,10)</f>
        <v>0</v>
      </c>
      <c r="D31" s="390">
        <f>IF(D9=0,0,0.5)</f>
        <v>0</v>
      </c>
      <c r="E31" s="390">
        <f>IF(E9=0,0,('OG units'!F19*2+'YG units'!F19*0.5)/E8)</f>
        <v>0</v>
      </c>
      <c r="F31" s="390">
        <f>IF(F9=0,0,6)</f>
        <v>0</v>
      </c>
      <c r="G31" s="390">
        <f>IF(G9=0,0,6)</f>
        <v>0</v>
      </c>
      <c r="H31" s="312">
        <f>(C31*$C$8+D31*$D$8+E31*$E$8+F31*$F$8+G31*$G$8)/$H$8</f>
        <v>0</v>
      </c>
    </row>
    <row r="32" spans="1:8" x14ac:dyDescent="0.2">
      <c r="A32" s="99">
        <v>29</v>
      </c>
      <c r="B32" s="99" t="s">
        <v>4</v>
      </c>
      <c r="C32" s="231">
        <f>C31*C8</f>
        <v>0</v>
      </c>
      <c r="D32" s="231">
        <f>D31*D8</f>
        <v>0</v>
      </c>
      <c r="E32" s="231">
        <f>E31*E8</f>
        <v>0</v>
      </c>
      <c r="F32" s="231">
        <f>F31*F8</f>
        <v>0</v>
      </c>
      <c r="G32" s="231">
        <f>G31*G8</f>
        <v>0</v>
      </c>
      <c r="H32" s="296">
        <f>IF(H9="#VALUE!","#VALUE!",SUM(C32:G32))</f>
        <v>0</v>
      </c>
    </row>
    <row r="33" spans="1:8" x14ac:dyDescent="0.2">
      <c r="A33" s="99">
        <v>30</v>
      </c>
      <c r="B33" s="99" t="s">
        <v>24</v>
      </c>
      <c r="C33" s="391"/>
      <c r="D33" s="391"/>
      <c r="E33" s="391"/>
      <c r="F33" s="391"/>
      <c r="G33" s="391"/>
      <c r="H33" s="231">
        <f>IF(H9="#VALUE!","#VALUE!",'Input Pg1'!C47)</f>
        <v>0</v>
      </c>
    </row>
    <row r="34" spans="1:8" ht="18.75" x14ac:dyDescent="0.2">
      <c r="A34" s="99">
        <v>31</v>
      </c>
      <c r="B34" s="99" t="s">
        <v>25</v>
      </c>
      <c r="C34" s="392"/>
      <c r="D34" s="393" t="s">
        <v>629</v>
      </c>
      <c r="E34" s="391"/>
      <c r="F34" s="391"/>
      <c r="G34" s="391"/>
      <c r="H34" s="231">
        <f>IF(H9=0,0,H33+(0.5*H8))</f>
        <v>0</v>
      </c>
    </row>
    <row r="35" spans="1:8" ht="18.75" x14ac:dyDescent="0.3">
      <c r="A35" s="99">
        <v>32</v>
      </c>
      <c r="B35" s="99" t="s">
        <v>3</v>
      </c>
      <c r="C35" s="391"/>
      <c r="D35" s="394" t="s">
        <v>413</v>
      </c>
      <c r="E35" s="391"/>
      <c r="F35" s="391"/>
      <c r="G35" s="391"/>
      <c r="H35" s="395">
        <f>IF(H9="#VALUE!","#VALUE!",'Input Pg1'!C46)</f>
        <v>0</v>
      </c>
    </row>
    <row r="36" spans="1:8" x14ac:dyDescent="0.2">
      <c r="A36" s="99">
        <v>33</v>
      </c>
      <c r="B36" s="99" t="s">
        <v>26</v>
      </c>
      <c r="C36" s="391"/>
      <c r="D36" s="391"/>
      <c r="E36" s="391"/>
      <c r="F36" s="391"/>
      <c r="G36" s="391"/>
      <c r="H36" s="231">
        <f>IF(H34-H32&lt;0,0,H34-H32)</f>
        <v>0</v>
      </c>
    </row>
    <row r="37" spans="1:8" x14ac:dyDescent="0.2">
      <c r="A37" s="99">
        <v>34</v>
      </c>
      <c r="B37" s="99" t="s">
        <v>27</v>
      </c>
      <c r="C37" s="382">
        <f>IF(C9=0,0,C29-C31)</f>
        <v>0</v>
      </c>
      <c r="D37" s="382">
        <f>IF(D9=0,0,D29-D31)</f>
        <v>0</v>
      </c>
      <c r="E37" s="382">
        <f>IF(E9=0,0,E29-E31)</f>
        <v>0</v>
      </c>
      <c r="F37" s="382">
        <f>IF(F9=0,0,F29-F31)</f>
        <v>0</v>
      </c>
      <c r="G37" s="382">
        <f>IF(G9=0,0,G29-G31)</f>
        <v>0</v>
      </c>
      <c r="H37" s="99"/>
    </row>
    <row r="38" spans="1:8" x14ac:dyDescent="0.2">
      <c r="A38" s="99">
        <v>35</v>
      </c>
      <c r="B38" s="99" t="s">
        <v>5</v>
      </c>
      <c r="C38" s="388">
        <f>IF(C37&gt;0,0,C37*C8)</f>
        <v>0</v>
      </c>
      <c r="D38" s="388">
        <f>IF(D37&gt;0,0,D37*D8)</f>
        <v>0</v>
      </c>
      <c r="E38" s="388">
        <f>IF(E37&gt;0,0,E37*E8)</f>
        <v>0</v>
      </c>
      <c r="F38" s="388">
        <f>IF(F37&gt;0,0,F37*F8)</f>
        <v>0</v>
      </c>
      <c r="G38" s="388">
        <f>IF(G37&gt;0,0,G37*G8)</f>
        <v>0</v>
      </c>
      <c r="H38" s="231">
        <f>SUM(C38:G38)</f>
        <v>0</v>
      </c>
    </row>
    <row r="39" spans="1:8" x14ac:dyDescent="0.2">
      <c r="A39" s="99">
        <v>36</v>
      </c>
      <c r="B39" s="99" t="s">
        <v>8</v>
      </c>
      <c r="C39" s="388">
        <f>IF(C37&gt;0,C37*C8,0)</f>
        <v>0</v>
      </c>
      <c r="D39" s="388">
        <f>IF(D37&gt;0,D37*D8,0)</f>
        <v>0</v>
      </c>
      <c r="E39" s="388">
        <f>IF(E37&gt;0,E37*E8,0)</f>
        <v>0</v>
      </c>
      <c r="F39" s="388">
        <f>IF(F37&gt;0,F37*F8,0)</f>
        <v>0</v>
      </c>
      <c r="G39" s="388">
        <f>IF(G37&gt;0,G37*G8,0)</f>
        <v>0</v>
      </c>
      <c r="H39" s="388">
        <f>SUM(C39:G39)</f>
        <v>0</v>
      </c>
    </row>
    <row r="40" spans="1:8" x14ac:dyDescent="0.2">
      <c r="A40" s="99">
        <v>37</v>
      </c>
      <c r="B40" s="99" t="s">
        <v>29</v>
      </c>
      <c r="C40" s="388">
        <f>IF($H$39=0,(C8/$H$8)*$H$36,$H$36/$H$39*C39)</f>
        <v>0</v>
      </c>
      <c r="D40" s="388">
        <f>IF($H$39=0,(D8/$H$8)*$H$36,$H$36/$H$39*D39)</f>
        <v>0</v>
      </c>
      <c r="E40" s="388">
        <f>IF($H$39=0,(E8/$H$8)*$H$36,$H$36/$H$39*E39)</f>
        <v>0</v>
      </c>
      <c r="F40" s="388">
        <f>IF($H$39=0,(F8/$H$8)*$H$36,$H$36/$H$39*F39)</f>
        <v>0</v>
      </c>
      <c r="G40" s="388">
        <f>IF($H$39=0,(G8/$H$8)*$H$36,$H$36/$H$39*G39)</f>
        <v>0</v>
      </c>
      <c r="H40" s="388">
        <f>H36</f>
        <v>0</v>
      </c>
    </row>
    <row r="41" spans="1:8" x14ac:dyDescent="0.2">
      <c r="A41" s="99">
        <v>38</v>
      </c>
      <c r="B41" s="99" t="s">
        <v>30</v>
      </c>
      <c r="C41" s="382">
        <f t="shared" ref="C41:H41" si="2">IF(C9=0,0,C40/C8)</f>
        <v>0</v>
      </c>
      <c r="D41" s="382">
        <f t="shared" si="2"/>
        <v>0</v>
      </c>
      <c r="E41" s="382">
        <f t="shared" si="2"/>
        <v>0</v>
      </c>
      <c r="F41" s="382">
        <f t="shared" si="2"/>
        <v>0</v>
      </c>
      <c r="G41" s="382">
        <f t="shared" si="2"/>
        <v>0</v>
      </c>
      <c r="H41" s="390">
        <f t="shared" si="2"/>
        <v>0</v>
      </c>
    </row>
    <row r="42" spans="1:8" x14ac:dyDescent="0.2">
      <c r="A42" s="99">
        <v>39</v>
      </c>
      <c r="B42" s="99" t="s">
        <v>6</v>
      </c>
      <c r="C42" s="382">
        <f>IF(C9=0,0,C41+C31)</f>
        <v>0</v>
      </c>
      <c r="D42" s="382">
        <f>IF(D9=0,0,D41+D31)</f>
        <v>0</v>
      </c>
      <c r="E42" s="382">
        <f>IF(E9=0,0,E41+E31)</f>
        <v>0</v>
      </c>
      <c r="F42" s="382">
        <f>IF(F9=0,0,F41+F31)</f>
        <v>0</v>
      </c>
      <c r="G42" s="382">
        <f>IF(G9=0,0,G41+G31)</f>
        <v>0</v>
      </c>
      <c r="H42" s="396">
        <f>H43/H8</f>
        <v>0</v>
      </c>
    </row>
    <row r="43" spans="1:8" x14ac:dyDescent="0.2">
      <c r="A43" s="99">
        <v>40</v>
      </c>
      <c r="B43" s="99" t="s">
        <v>7</v>
      </c>
      <c r="C43" s="388">
        <f>C42*C8</f>
        <v>0</v>
      </c>
      <c r="D43" s="388">
        <f>D42*D8</f>
        <v>0</v>
      </c>
      <c r="E43" s="388">
        <f>E42*E8</f>
        <v>0</v>
      </c>
      <c r="F43" s="388">
        <f>F42*F8</f>
        <v>0</v>
      </c>
      <c r="G43" s="388">
        <f>G42*G8</f>
        <v>0</v>
      </c>
      <c r="H43" s="397">
        <f>SUM(C43:G43)</f>
        <v>0</v>
      </c>
    </row>
    <row r="44" spans="1:8" x14ac:dyDescent="0.2">
      <c r="A44" s="99">
        <v>41</v>
      </c>
      <c r="B44" s="99" t="s">
        <v>28</v>
      </c>
      <c r="C44" s="382">
        <f>C29-C42</f>
        <v>0</v>
      </c>
      <c r="D44" s="382">
        <f>D29-D42</f>
        <v>0</v>
      </c>
      <c r="E44" s="382">
        <f>E29-E42</f>
        <v>0</v>
      </c>
      <c r="F44" s="382">
        <f>F29-F42</f>
        <v>0</v>
      </c>
      <c r="G44" s="382">
        <f>G29-G42</f>
        <v>0</v>
      </c>
      <c r="H44" s="296"/>
    </row>
    <row r="45" spans="1:8" x14ac:dyDescent="0.2">
      <c r="A45" s="99">
        <v>42</v>
      </c>
      <c r="B45" s="99" t="s">
        <v>5</v>
      </c>
      <c r="C45" s="388">
        <f>IF(C44&gt;0,0,C44*C8)</f>
        <v>0</v>
      </c>
      <c r="D45" s="388">
        <f>IF(D44&gt;0,0,D44*D8)</f>
        <v>0</v>
      </c>
      <c r="E45" s="388">
        <f>IF(E44&gt;0,0,E44*E8)</f>
        <v>0</v>
      </c>
      <c r="F45" s="388">
        <f>IF(F44&gt;0,0,F44*F8)</f>
        <v>0</v>
      </c>
      <c r="G45" s="388">
        <f>IF(G44&gt;0,0,G44*G8)</f>
        <v>0</v>
      </c>
      <c r="H45" s="296">
        <f>SUM(C45:G45)</f>
        <v>0</v>
      </c>
    </row>
    <row r="46" spans="1:8" x14ac:dyDescent="0.2">
      <c r="A46" s="99">
        <v>43</v>
      </c>
      <c r="B46" s="99" t="s">
        <v>8</v>
      </c>
      <c r="C46" s="388">
        <f>IF(C44&gt;0,C44*C8,0)</f>
        <v>0</v>
      </c>
      <c r="D46" s="388">
        <f>IF(D44&gt;0,D44*D8,0)</f>
        <v>0</v>
      </c>
      <c r="E46" s="388">
        <f>IF(E44&gt;0,E44*E8,0)</f>
        <v>0</v>
      </c>
      <c r="F46" s="388">
        <f>IF(F44&gt;0,F44*F8,0)</f>
        <v>0</v>
      </c>
      <c r="G46" s="388">
        <f>IF(G44&gt;0,G44*G8,0)</f>
        <v>0</v>
      </c>
      <c r="H46" s="296">
        <f>SUM(C46:G46)</f>
        <v>0</v>
      </c>
    </row>
    <row r="47" spans="1:8" x14ac:dyDescent="0.2">
      <c r="A47" s="99">
        <v>44</v>
      </c>
      <c r="B47" s="99" t="s">
        <v>46</v>
      </c>
      <c r="C47" s="388">
        <f>IF(H47&lt;0,0,IF(C46&gt;0,$H$47/$H$46*C46,0))</f>
        <v>0</v>
      </c>
      <c r="D47" s="388">
        <f>IF(H47&lt;0,0,IF(D46&gt;0,$H$47/$H$46*D46,0))</f>
        <v>0</v>
      </c>
      <c r="E47" s="388">
        <f>IF(H47&lt;0,0,IF(E46&gt;0,$H$47/$H$46*E46,0))</f>
        <v>0</v>
      </c>
      <c r="F47" s="388">
        <f>IF(H47&lt;0,0,IF(F46&gt;0,$H$47/$H$46*F46,0))</f>
        <v>0</v>
      </c>
      <c r="G47" s="388">
        <f>IF(H47&lt;0,0,IF(G46&gt;0,$H$47/$H$46*G46,0))</f>
        <v>0</v>
      </c>
      <c r="H47" s="296">
        <f>H46+H45</f>
        <v>0</v>
      </c>
    </row>
    <row r="48" spans="1:8" x14ac:dyDescent="0.2">
      <c r="A48" s="99">
        <v>45</v>
      </c>
      <c r="B48" s="99" t="s">
        <v>47</v>
      </c>
      <c r="C48" s="382">
        <f>IF(C47&gt;0,(C46-C47)/C8*-1,C44*-1)</f>
        <v>0</v>
      </c>
      <c r="D48" s="382">
        <f>IF(D47&gt;0,(D46-D47)/D8*-1,D44*-1)</f>
        <v>0</v>
      </c>
      <c r="E48" s="382">
        <f>IF(E47&gt;0,(E46-E47)/E8*-1,E44*-1)</f>
        <v>0</v>
      </c>
      <c r="F48" s="382">
        <f>IF(F47&gt;0,(F46-F47)/F8*-1,F44*-1)</f>
        <v>0</v>
      </c>
      <c r="G48" s="382">
        <f>IF(G47&gt;0,(G46-G47)/G8*-1,G44*-1)</f>
        <v>0</v>
      </c>
      <c r="H48" s="382">
        <f>C48*(C8/H8)+D48*(D8/H8)+E48*(E8/H8)+F48*(F8/H8)+G48*(G8/H8)</f>
        <v>0</v>
      </c>
    </row>
    <row r="49" spans="1:8" x14ac:dyDescent="0.2">
      <c r="A49" s="99">
        <v>46</v>
      </c>
      <c r="B49" s="170" t="s">
        <v>48</v>
      </c>
      <c r="C49" s="382">
        <f>IF('Input Pg1'!C54+'Input Pg1'!C55=0,0,C29+C48)</f>
        <v>0</v>
      </c>
      <c r="D49" s="382">
        <f>IF('Input Pg1'!C56=0,0,D29+D48)</f>
        <v>0</v>
      </c>
      <c r="E49" s="382">
        <f>IF('Input Pg1'!C57=0,0,E29+E48)</f>
        <v>0</v>
      </c>
      <c r="F49" s="382">
        <f>IF('Input Pg1'!C58=0,0,F29+F48)</f>
        <v>0</v>
      </c>
      <c r="G49" s="382">
        <f>IF('Input Pg1'!C59=0,0,G29+G48)</f>
        <v>0</v>
      </c>
      <c r="H49" s="384">
        <f>H50/H8</f>
        <v>0</v>
      </c>
    </row>
    <row r="50" spans="1:8" x14ac:dyDescent="0.2">
      <c r="A50" s="99">
        <v>47</v>
      </c>
      <c r="B50" s="170" t="s">
        <v>9</v>
      </c>
      <c r="C50" s="388">
        <f>C49*C8</f>
        <v>0</v>
      </c>
      <c r="D50" s="388">
        <f>D49*D8</f>
        <v>0</v>
      </c>
      <c r="E50" s="388">
        <f>E49*E8</f>
        <v>0</v>
      </c>
      <c r="F50" s="388">
        <f>F49*F8</f>
        <v>0</v>
      </c>
      <c r="G50" s="388">
        <f>G49*G8</f>
        <v>0</v>
      </c>
      <c r="H50" s="398">
        <f>SUM(C50:G50)</f>
        <v>0</v>
      </c>
    </row>
    <row r="51" spans="1:8" x14ac:dyDescent="0.2">
      <c r="A51" s="99">
        <v>48</v>
      </c>
      <c r="B51" s="399" t="s">
        <v>149</v>
      </c>
      <c r="C51" s="400">
        <f>IF(H43&gt;H30,H43-H30,0)</f>
        <v>0</v>
      </c>
      <c r="D51" s="400"/>
      <c r="E51" s="401"/>
      <c r="F51" s="401"/>
      <c r="G51" s="401"/>
      <c r="H51" s="99"/>
    </row>
    <row r="52" spans="1:8" x14ac:dyDescent="0.2">
      <c r="A52" s="99"/>
      <c r="B52" s="99"/>
      <c r="C52" s="401"/>
      <c r="D52" s="402"/>
      <c r="E52" s="401"/>
      <c r="F52" s="401" t="s">
        <v>51</v>
      </c>
      <c r="G52" s="401"/>
      <c r="H52" s="99"/>
    </row>
    <row r="53" spans="1:8" x14ac:dyDescent="0.2">
      <c r="C53" s="2"/>
      <c r="D53" s="2"/>
      <c r="E53" s="2"/>
      <c r="F53" s="2"/>
      <c r="G53" s="2"/>
    </row>
    <row r="54" spans="1:8" x14ac:dyDescent="0.2">
      <c r="C54" s="2"/>
      <c r="D54" s="2"/>
      <c r="E54" s="2"/>
      <c r="F54" s="2"/>
      <c r="G54" s="2"/>
    </row>
  </sheetData>
  <sheetProtection algorithmName="SHA-512" hashValue="Uz2tAU8d+gEBpRSt4E/hsY3BcBR7RsDVnpEToZr4aLe/7pPz/MiKnGNPrXSD2tKuSpN1z/rNHsS6JzH4Md+BJg==" saltValue="gytWfnJtwCPi1iPHRVjmEg==" spinCount="100000" sheet="1" objects="1" scenarios="1"/>
  <phoneticPr fontId="0" type="noConversion"/>
  <printOptions gridLines="1"/>
  <pageMargins left="0.25" right="0.25" top="0.25" bottom="0.25" header="0.5" footer="0.5"/>
  <pageSetup paperSize="3" orientation="landscape" r:id="rId1"/>
  <headerFooter alignWithMargins="0"/>
  <ignoredErrors>
    <ignoredError sqref="C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B7DEE8"/>
    <pageSetUpPr fitToPage="1"/>
  </sheetPr>
  <dimension ref="A1:I54"/>
  <sheetViews>
    <sheetView zoomScale="90" zoomScaleNormal="90" workbookViewId="0">
      <selection activeCell="A100" sqref="A100"/>
    </sheetView>
  </sheetViews>
  <sheetFormatPr defaultColWidth="8.85546875" defaultRowHeight="12.75" x14ac:dyDescent="0.2"/>
  <cols>
    <col min="1" max="1" width="7.5703125" customWidth="1"/>
    <col min="2" max="2" width="38.85546875" customWidth="1"/>
    <col min="3" max="3" width="23.28515625" customWidth="1"/>
    <col min="4" max="7" width="18.7109375" customWidth="1"/>
    <col min="8" max="8" width="20.7109375" customWidth="1"/>
  </cols>
  <sheetData>
    <row r="1" spans="1:9" ht="44.85" customHeight="1" x14ac:dyDescent="0.25">
      <c r="A1" s="370" t="s">
        <v>153</v>
      </c>
      <c r="B1" s="404" t="s">
        <v>578</v>
      </c>
      <c r="C1" s="403" t="s">
        <v>393</v>
      </c>
      <c r="D1" s="373" t="str">
        <f>'Input Pg1'!F1</f>
        <v>2025 Q3</v>
      </c>
      <c r="E1" s="372" t="s">
        <v>443</v>
      </c>
      <c r="F1" s="375">
        <f>IF('OG units'!F1=0, 'YG units'!F1,'OG units'!F1)</f>
        <v>0</v>
      </c>
      <c r="G1" s="503" t="s">
        <v>501</v>
      </c>
      <c r="H1" s="376">
        <f>IF('OG units'!I1=0, 'YG units'!I1,'OG units'!I1)</f>
        <v>0</v>
      </c>
      <c r="I1" s="99"/>
    </row>
    <row r="2" spans="1:9" ht="11.65" customHeight="1" x14ac:dyDescent="0.2">
      <c r="A2" s="121"/>
      <c r="B2" s="121"/>
      <c r="C2" s="377"/>
      <c r="D2" s="377"/>
      <c r="E2" s="377"/>
      <c r="F2" s="99"/>
      <c r="G2" s="378"/>
      <c r="H2" s="121"/>
      <c r="I2" s="99"/>
    </row>
    <row r="3" spans="1:9" x14ac:dyDescent="0.2">
      <c r="A3" s="121"/>
      <c r="B3" s="121" t="s">
        <v>170</v>
      </c>
      <c r="C3" s="377">
        <f>+C8/$H$8</f>
        <v>0.19999999999999998</v>
      </c>
      <c r="D3" s="377">
        <f>+D8/$H$8</f>
        <v>0.19999999999999998</v>
      </c>
      <c r="E3" s="377">
        <f>+E8/$H$8</f>
        <v>0.19999999999999998</v>
      </c>
      <c r="F3" s="377">
        <f>+F8/$H$8</f>
        <v>0.19999999999999998</v>
      </c>
      <c r="G3" s="377">
        <f>+G8/$H$8</f>
        <v>0.19999999999999998</v>
      </c>
      <c r="H3" s="121"/>
      <c r="I3" s="99"/>
    </row>
    <row r="4" spans="1:9" x14ac:dyDescent="0.2">
      <c r="A4" s="99">
        <v>1</v>
      </c>
      <c r="B4" s="99" t="s">
        <v>18</v>
      </c>
      <c r="C4" s="283" t="s">
        <v>526</v>
      </c>
      <c r="D4" s="283" t="s">
        <v>527</v>
      </c>
      <c r="E4" s="283" t="s">
        <v>84</v>
      </c>
      <c r="F4" s="283" t="s">
        <v>85</v>
      </c>
      <c r="G4" s="283" t="s">
        <v>86</v>
      </c>
      <c r="H4" s="379" t="s">
        <v>1</v>
      </c>
      <c r="I4" s="99"/>
    </row>
    <row r="5" spans="1:9" x14ac:dyDescent="0.2">
      <c r="A5" s="99">
        <v>2</v>
      </c>
      <c r="B5" s="99" t="s">
        <v>2</v>
      </c>
      <c r="C5" s="380" t="s">
        <v>22</v>
      </c>
      <c r="D5" s="380" t="s">
        <v>145</v>
      </c>
      <c r="E5" s="380" t="s">
        <v>251</v>
      </c>
      <c r="F5" s="380" t="s">
        <v>21</v>
      </c>
      <c r="G5" s="380">
        <v>242</v>
      </c>
      <c r="H5" s="379" t="s">
        <v>0</v>
      </c>
      <c r="I5" s="99"/>
    </row>
    <row r="6" spans="1:9" x14ac:dyDescent="0.2">
      <c r="A6" s="99">
        <v>3</v>
      </c>
      <c r="B6" s="99" t="s">
        <v>211</v>
      </c>
      <c r="C6" s="380" t="s">
        <v>205</v>
      </c>
      <c r="D6" s="380" t="s">
        <v>205</v>
      </c>
      <c r="E6" s="380" t="s">
        <v>205</v>
      </c>
      <c r="F6" s="380" t="s">
        <v>205</v>
      </c>
      <c r="G6" s="380" t="s">
        <v>205</v>
      </c>
      <c r="H6" s="380" t="s">
        <v>205</v>
      </c>
      <c r="I6" s="99"/>
    </row>
    <row r="7" spans="1:9" x14ac:dyDescent="0.2">
      <c r="A7" s="99">
        <v>4</v>
      </c>
      <c r="B7" s="99" t="s">
        <v>19</v>
      </c>
      <c r="C7" s="379" t="s">
        <v>20</v>
      </c>
      <c r="D7" s="379" t="s">
        <v>20</v>
      </c>
      <c r="E7" s="379" t="s">
        <v>20</v>
      </c>
      <c r="F7" s="379" t="s">
        <v>20</v>
      </c>
      <c r="G7" s="379" t="s">
        <v>20</v>
      </c>
      <c r="H7" s="379" t="s">
        <v>20</v>
      </c>
      <c r="I7" s="99"/>
    </row>
    <row r="8" spans="1:9" x14ac:dyDescent="0.2">
      <c r="A8" s="99">
        <v>5</v>
      </c>
      <c r="B8" s="170" t="s">
        <v>36</v>
      </c>
      <c r="C8" s="381">
        <f>IF('Input Pg1'!C66+'Input Pg1'!C67=0,0.00000000000001,'Input Pg1'!C66+'Input Pg1'!C67)</f>
        <v>1E-14</v>
      </c>
      <c r="D8" s="381">
        <f>IF('Input Pg1'!C68=0,0.00000000000001,'Input Pg1'!C68)</f>
        <v>1E-14</v>
      </c>
      <c r="E8" s="381">
        <f>IF('Input Pg1'!C69=0,0.00000000000001,'Input Pg1'!C69)</f>
        <v>1E-14</v>
      </c>
      <c r="F8" s="381">
        <f>IF('Input Pg1'!C70=0,0.00000000000001,'Input Pg1'!C70)</f>
        <v>1E-14</v>
      </c>
      <c r="G8" s="381">
        <f>IF('Input Pg1'!C71=0,0.00000000000001,'Input Pg1'!C71)</f>
        <v>1E-14</v>
      </c>
      <c r="H8" s="381">
        <f>IF('Input Pg1'!C9="YG needs to equal OG","Check OG &amp; YG DIB",C8+D8+E8+F8+G8)</f>
        <v>5.0000000000000002E-14</v>
      </c>
      <c r="I8" s="99"/>
    </row>
    <row r="9" spans="1:9" x14ac:dyDescent="0.2">
      <c r="A9" s="99">
        <v>6</v>
      </c>
      <c r="B9" s="170" t="s">
        <v>210</v>
      </c>
      <c r="C9" s="382">
        <f>'Project SV mfg'!B23</f>
        <v>0</v>
      </c>
      <c r="D9" s="382">
        <f>'Project SV mfg'!C23</f>
        <v>0</v>
      </c>
      <c r="E9" s="382">
        <f>'Project SV mfg'!D23</f>
        <v>0</v>
      </c>
      <c r="F9" s="382">
        <f>'Project SV mfg'!E23</f>
        <v>0</v>
      </c>
      <c r="G9" s="382">
        <f>'Project SV mfg'!F23</f>
        <v>0</v>
      </c>
      <c r="H9" s="383">
        <f>(C9*$C$8+D9*$D$8+E9*$E$8+F9*$F$8+G9*$G$8)/$H$8</f>
        <v>0</v>
      </c>
      <c r="I9" s="99"/>
    </row>
    <row r="10" spans="1:9" x14ac:dyDescent="0.2">
      <c r="A10" s="99">
        <v>7</v>
      </c>
      <c r="B10" s="170" t="s">
        <v>14</v>
      </c>
      <c r="C10" s="382">
        <f>IF(C9=0,0,'Project SV mfg'!B30)</f>
        <v>0</v>
      </c>
      <c r="D10" s="382">
        <f>IF(D9=0,0,'Project SV mfg'!C30)</f>
        <v>0</v>
      </c>
      <c r="E10" s="382">
        <f>IF(E9=0,0,'Project SV mfg'!D30)</f>
        <v>0</v>
      </c>
      <c r="F10" s="382">
        <f>IF(F9=0,0,'Project SV mfg'!E30)</f>
        <v>0</v>
      </c>
      <c r="G10" s="382">
        <f>IF(G9=0,0,'Project SV mfg'!F30)</f>
        <v>0</v>
      </c>
      <c r="H10" s="383">
        <f>(C10*$C$8+D10*$D$8+E10*$E$8+F10*$F$8+G10*$G$8)/$H$8</f>
        <v>0</v>
      </c>
      <c r="I10" s="99"/>
    </row>
    <row r="11" spans="1:9" x14ac:dyDescent="0.2">
      <c r="A11" s="99">
        <v>8</v>
      </c>
      <c r="B11" s="170" t="s">
        <v>70</v>
      </c>
      <c r="C11" s="384">
        <f t="shared" ref="C11:H11" si="0">C9-C10</f>
        <v>0</v>
      </c>
      <c r="D11" s="384">
        <f t="shared" si="0"/>
        <v>0</v>
      </c>
      <c r="E11" s="384">
        <f t="shared" si="0"/>
        <v>0</v>
      </c>
      <c r="F11" s="384">
        <f t="shared" si="0"/>
        <v>0</v>
      </c>
      <c r="G11" s="384">
        <f t="shared" si="0"/>
        <v>0</v>
      </c>
      <c r="H11" s="384">
        <f t="shared" si="0"/>
        <v>0</v>
      </c>
      <c r="I11" s="99"/>
    </row>
    <row r="12" spans="1:9" x14ac:dyDescent="0.2">
      <c r="A12" s="287">
        <v>9</v>
      </c>
      <c r="B12" s="99" t="s">
        <v>107</v>
      </c>
      <c r="C12" s="382">
        <f>IF(C9=0,0,LoggingCosts!$D$8)</f>
        <v>0</v>
      </c>
      <c r="D12" s="382">
        <f>IF(D9=0,0,LoggingCosts!$D$8)</f>
        <v>0</v>
      </c>
      <c r="E12" s="382">
        <f>IF(E9=0,0,LoggingCosts!$D$8)</f>
        <v>0</v>
      </c>
      <c r="F12" s="382">
        <f>IF(F9=0,0,LoggingCosts!$D$8)</f>
        <v>0</v>
      </c>
      <c r="G12" s="382">
        <f>IF(G9=0,0,LoggingCosts!$D$8)</f>
        <v>0</v>
      </c>
      <c r="H12" s="312">
        <f>(C12*$C$8+D12*$D$8+E12*$E$8+F12*$F$8+G12*$G$8)/$H$8</f>
        <v>0</v>
      </c>
      <c r="I12" s="99"/>
    </row>
    <row r="13" spans="1:9" x14ac:dyDescent="0.2">
      <c r="A13" s="99">
        <v>10</v>
      </c>
      <c r="B13" s="99" t="s">
        <v>204</v>
      </c>
      <c r="C13" s="382">
        <f>IF(C9=0,0,LoggingCosts!$D$9)</f>
        <v>0</v>
      </c>
      <c r="D13" s="382">
        <f>IF(D9=0,0,LoggingCosts!$D$9)</f>
        <v>0</v>
      </c>
      <c r="E13" s="382">
        <f>IF(E9=0,0,LoggingCosts!$D$9)</f>
        <v>0</v>
      </c>
      <c r="F13" s="382">
        <f>IF(F9=0,0,LoggingCosts!$D$9)</f>
        <v>0</v>
      </c>
      <c r="G13" s="382">
        <f>IF(G9=0,0,LoggingCosts!$D$9)</f>
        <v>0</v>
      </c>
      <c r="H13" s="312">
        <f t="shared" ref="H13:H26" si="1">(C13*$C$8+D13*$D$8+E13*$E$8+F13*$F$8+G13*$G$8)/$H$8</f>
        <v>0</v>
      </c>
      <c r="I13" s="99"/>
    </row>
    <row r="14" spans="1:9" x14ac:dyDescent="0.2">
      <c r="A14" s="99">
        <v>11</v>
      </c>
      <c r="B14" s="170" t="s">
        <v>108</v>
      </c>
      <c r="C14" s="382">
        <f>IF(C9=0,0,LoggingCosts!$D$11)</f>
        <v>0</v>
      </c>
      <c r="D14" s="382">
        <f>IF(D9=0,0,LoggingCosts!$D$11)</f>
        <v>0</v>
      </c>
      <c r="E14" s="382">
        <f>IF(E9=0,0,LoggingCosts!$D$11)</f>
        <v>0</v>
      </c>
      <c r="F14" s="382">
        <f>IF(F9=0,0,LoggingCosts!$D$11)</f>
        <v>0</v>
      </c>
      <c r="G14" s="382">
        <f>IF(G9=0,0,LoggingCosts!$D$11)</f>
        <v>0</v>
      </c>
      <c r="H14" s="383">
        <f t="shared" si="1"/>
        <v>0</v>
      </c>
      <c r="I14" s="99"/>
    </row>
    <row r="15" spans="1:9" x14ac:dyDescent="0.2">
      <c r="A15" s="99">
        <v>12</v>
      </c>
      <c r="B15" s="99" t="s">
        <v>10</v>
      </c>
      <c r="C15" s="382">
        <f>IF(C9=0,0,LoggingCosts!$C$14/$H$8)</f>
        <v>0</v>
      </c>
      <c r="D15" s="382">
        <f>IF(D9=0,0,LoggingCosts!$C$14/$H$8)</f>
        <v>0</v>
      </c>
      <c r="E15" s="382">
        <f>IF(E9=0,0,LoggingCosts!$C$14/$H$8)</f>
        <v>0</v>
      </c>
      <c r="F15" s="382">
        <f>IF(F9=0,0,LoggingCosts!$C$14/$H$8)</f>
        <v>0</v>
      </c>
      <c r="G15" s="382">
        <f>IF(G9=0,0,LoggingCosts!$C$14/$H$8)</f>
        <v>0</v>
      </c>
      <c r="H15" s="312">
        <f t="shared" si="1"/>
        <v>0</v>
      </c>
      <c r="I15" s="99"/>
    </row>
    <row r="16" spans="1:9" x14ac:dyDescent="0.2">
      <c r="A16" s="99">
        <v>13</v>
      </c>
      <c r="B16" s="99" t="s">
        <v>576</v>
      </c>
      <c r="C16" s="382">
        <f>IF(C9=0,0,(NOTES!$H$26+NOTES!$I$26+NOTES!$I$27)/$H$8)</f>
        <v>0</v>
      </c>
      <c r="D16" s="382">
        <f>IF(D9=0,0,(NOTES!$H$26+NOTES!$I$26+NOTES!$I$27)/$H$8)</f>
        <v>0</v>
      </c>
      <c r="E16" s="382">
        <f>IF(E9=0,0,(NOTES!$H$26+NOTES!$I$26+NOTES!$I$27)/$H$8)</f>
        <v>0</v>
      </c>
      <c r="F16" s="382">
        <f>IF(F9=0,0,(NOTES!$H$26+NOTES!$I$26+NOTES!$I$27)/$H$8)</f>
        <v>0</v>
      </c>
      <c r="G16" s="382">
        <f>IF(G9=0,0,(NOTES!$H$26+NOTES!$I$26+NOTES!$I$27)/$H$8)</f>
        <v>0</v>
      </c>
      <c r="H16" s="312">
        <f t="shared" si="1"/>
        <v>0</v>
      </c>
      <c r="I16" s="99"/>
    </row>
    <row r="17" spans="1:9" x14ac:dyDescent="0.2">
      <c r="A17" s="99">
        <v>14</v>
      </c>
      <c r="B17" s="99" t="s">
        <v>11</v>
      </c>
      <c r="C17" s="382">
        <f>IF(C9=0,0,LoggingCosts!$D$16)</f>
        <v>0</v>
      </c>
      <c r="D17" s="382">
        <f>IF(D9=0,0,LoggingCosts!$D$16)</f>
        <v>0</v>
      </c>
      <c r="E17" s="382">
        <f>IF(E9=0,0,LoggingCosts!$D$16)</f>
        <v>0</v>
      </c>
      <c r="F17" s="382">
        <f>IF(F9=0,0,LoggingCosts!$D$16)</f>
        <v>0</v>
      </c>
      <c r="G17" s="382">
        <f>IF(G9=0,0,LoggingCosts!$D$16)</f>
        <v>0</v>
      </c>
      <c r="H17" s="312">
        <f t="shared" si="1"/>
        <v>0</v>
      </c>
      <c r="I17" s="99"/>
    </row>
    <row r="18" spans="1:9" x14ac:dyDescent="0.2">
      <c r="A18" s="99">
        <v>15</v>
      </c>
      <c r="B18" s="99" t="s">
        <v>348</v>
      </c>
      <c r="C18" s="382">
        <f>IF(C9=0,0,LoggingCosts!$D$17)</f>
        <v>0</v>
      </c>
      <c r="D18" s="382">
        <f>IF(D9=0,0,LoggingCosts!$D$17)</f>
        <v>0</v>
      </c>
      <c r="E18" s="382">
        <f>IF(E9=0,0,LoggingCosts!$D$17)</f>
        <v>0</v>
      </c>
      <c r="F18" s="382">
        <f>IF(F9=0,0,LoggingCosts!$D$17)</f>
        <v>0</v>
      </c>
      <c r="G18" s="382">
        <f>IF(G9=0,0,LoggingCosts!$D$17)</f>
        <v>0</v>
      </c>
      <c r="H18" s="312">
        <f t="shared" si="1"/>
        <v>0</v>
      </c>
      <c r="I18" s="99"/>
    </row>
    <row r="19" spans="1:9" x14ac:dyDescent="0.2">
      <c r="A19" s="99">
        <v>16</v>
      </c>
      <c r="B19" s="99" t="s">
        <v>44</v>
      </c>
      <c r="C19" s="382">
        <f>IF(C9=0,0,LoggingCosts!$D$18)</f>
        <v>0</v>
      </c>
      <c r="D19" s="382">
        <f>IF(D9=0,0,LoggingCosts!$D$18)</f>
        <v>0</v>
      </c>
      <c r="E19" s="382">
        <f>IF(E9=0,0,LoggingCosts!$D$18)</f>
        <v>0</v>
      </c>
      <c r="F19" s="382">
        <f>IF(F9=0,0,LoggingCosts!$D$18)</f>
        <v>0</v>
      </c>
      <c r="G19" s="382">
        <f>IF(G9=0,0,LoggingCosts!$D$18)</f>
        <v>0</v>
      </c>
      <c r="H19" s="312">
        <f t="shared" si="1"/>
        <v>0</v>
      </c>
      <c r="I19" s="99"/>
    </row>
    <row r="20" spans="1:9" x14ac:dyDescent="0.2">
      <c r="A20" s="99">
        <v>17</v>
      </c>
      <c r="B20" s="99" t="s">
        <v>161</v>
      </c>
      <c r="C20" s="382">
        <f>IF(C9=0,0,LoggingCosts!$D$21)</f>
        <v>0</v>
      </c>
      <c r="D20" s="382">
        <f>IF(D9=0,0,LoggingCosts!$D$21)</f>
        <v>0</v>
      </c>
      <c r="E20" s="382">
        <f>IF(E9=0,0,LoggingCosts!$D$21)</f>
        <v>0</v>
      </c>
      <c r="F20" s="382">
        <f>IF(F9=0,0,LoggingCosts!$D$21)</f>
        <v>0</v>
      </c>
      <c r="G20" s="382">
        <f>IF(G9=0,0,LoggingCosts!$D$21)</f>
        <v>0</v>
      </c>
      <c r="H20" s="312">
        <f t="shared" si="1"/>
        <v>0</v>
      </c>
      <c r="I20" s="99"/>
    </row>
    <row r="21" spans="1:9" x14ac:dyDescent="0.2">
      <c r="A21" s="99">
        <v>18</v>
      </c>
      <c r="B21" s="170" t="s">
        <v>43</v>
      </c>
      <c r="C21" s="385">
        <f>C20+C19+C18+C17+C16+C15+C14</f>
        <v>0</v>
      </c>
      <c r="D21" s="385">
        <f>D20+D19+D18+D17+D16+D15+D14</f>
        <v>0</v>
      </c>
      <c r="E21" s="385">
        <f>E20+E19+E18+E17+E16+E15+E14</f>
        <v>0</v>
      </c>
      <c r="F21" s="385">
        <f>F20+F19+F18+F17+F16+F15+F14</f>
        <v>0</v>
      </c>
      <c r="G21" s="385">
        <f>G20+G19+G18+G17+G16+G15+G14</f>
        <v>0</v>
      </c>
      <c r="H21" s="383">
        <f t="shared" si="1"/>
        <v>0</v>
      </c>
      <c r="I21" s="99"/>
    </row>
    <row r="22" spans="1:9" x14ac:dyDescent="0.2">
      <c r="A22" s="99">
        <v>19</v>
      </c>
      <c r="B22" s="99" t="s">
        <v>13</v>
      </c>
      <c r="C22" s="382">
        <f>IF(C9=0,0,LoggingCosts!$D$23)</f>
        <v>0</v>
      </c>
      <c r="D22" s="382">
        <f>IF(D9=0,0,LoggingCosts!$D$23)</f>
        <v>0</v>
      </c>
      <c r="E22" s="382">
        <f>IF(E9=0,0,LoggingCosts!$D$23)</f>
        <v>0</v>
      </c>
      <c r="F22" s="382">
        <f>IF(F9=0,0,LoggingCosts!$D$23)</f>
        <v>0</v>
      </c>
      <c r="G22" s="382">
        <f>IF(G9=0,0,LoggingCosts!$D$23)</f>
        <v>0</v>
      </c>
      <c r="H22" s="312">
        <f t="shared" si="1"/>
        <v>0</v>
      </c>
      <c r="I22" s="99"/>
    </row>
    <row r="23" spans="1:9" x14ac:dyDescent="0.2">
      <c r="A23" s="99">
        <v>20</v>
      </c>
      <c r="B23" s="99" t="s">
        <v>12</v>
      </c>
      <c r="C23" s="382">
        <f>IF(C9=0,0,LoggingCosts!$D$24)</f>
        <v>0</v>
      </c>
      <c r="D23" s="382">
        <f>IF(D9=0,0,LoggingCosts!$D$24)</f>
        <v>0</v>
      </c>
      <c r="E23" s="382">
        <f>IF(E9=0,0,LoggingCosts!$D$24)</f>
        <v>0</v>
      </c>
      <c r="F23" s="382">
        <f>IF(F9=0,0,LoggingCosts!$D$24)</f>
        <v>0</v>
      </c>
      <c r="G23" s="382">
        <f>IF(G9=0,0,LoggingCosts!$D$24)</f>
        <v>0</v>
      </c>
      <c r="H23" s="312">
        <f t="shared" si="1"/>
        <v>0</v>
      </c>
      <c r="I23" s="99"/>
    </row>
    <row r="24" spans="1:9" x14ac:dyDescent="0.2">
      <c r="A24" s="99">
        <v>21</v>
      </c>
      <c r="B24" s="170" t="s">
        <v>383</v>
      </c>
      <c r="C24" s="382">
        <f>C23+C22+C21</f>
        <v>0</v>
      </c>
      <c r="D24" s="382">
        <f>D23+D22+D21</f>
        <v>0</v>
      </c>
      <c r="E24" s="382">
        <f>E23+E22+E21</f>
        <v>0</v>
      </c>
      <c r="F24" s="382">
        <f>F23+F22+F21</f>
        <v>0</v>
      </c>
      <c r="G24" s="382">
        <f>G23+G22+G21</f>
        <v>0</v>
      </c>
      <c r="H24" s="383">
        <f t="shared" si="1"/>
        <v>0</v>
      </c>
      <c r="I24" s="99"/>
    </row>
    <row r="25" spans="1:9" x14ac:dyDescent="0.2">
      <c r="A25" s="99">
        <v>22</v>
      </c>
      <c r="B25" s="170" t="s">
        <v>15</v>
      </c>
      <c r="C25" s="382">
        <f>C10+C24</f>
        <v>0</v>
      </c>
      <c r="D25" s="382">
        <f>D10+D24</f>
        <v>0</v>
      </c>
      <c r="E25" s="382">
        <f>E10+E24</f>
        <v>0</v>
      </c>
      <c r="F25" s="382">
        <f>F10+F24</f>
        <v>0</v>
      </c>
      <c r="G25" s="382">
        <f>G10+G24</f>
        <v>0</v>
      </c>
      <c r="H25" s="383">
        <f t="shared" si="1"/>
        <v>0</v>
      </c>
      <c r="I25" s="99"/>
    </row>
    <row r="26" spans="1:9" x14ac:dyDescent="0.2">
      <c r="A26" s="99">
        <v>23</v>
      </c>
      <c r="B26" s="99" t="s">
        <v>16</v>
      </c>
      <c r="C26" s="382">
        <f>C9-C25</f>
        <v>0</v>
      </c>
      <c r="D26" s="382">
        <f>D9-D25</f>
        <v>0</v>
      </c>
      <c r="E26" s="382">
        <f>E9-E25</f>
        <v>0</v>
      </c>
      <c r="F26" s="382">
        <f>F9-F25</f>
        <v>0</v>
      </c>
      <c r="G26" s="382">
        <f>G9-G25</f>
        <v>0</v>
      </c>
      <c r="H26" s="312">
        <f t="shared" si="1"/>
        <v>0</v>
      </c>
      <c r="I26" s="99"/>
    </row>
    <row r="27" spans="1:9" x14ac:dyDescent="0.2">
      <c r="A27" s="99">
        <v>24</v>
      </c>
      <c r="B27" s="99" t="s">
        <v>52</v>
      </c>
      <c r="C27" s="386">
        <f>IF(C9=0,0,'BY24 Update'!H18)</f>
        <v>0</v>
      </c>
      <c r="D27" s="386">
        <f>IF(D9=0,0,'BY24 Update'!H18)</f>
        <v>0</v>
      </c>
      <c r="E27" s="386">
        <f>IF(E9=0,0,'BY24 Update'!H18)</f>
        <v>0</v>
      </c>
      <c r="F27" s="386">
        <f>IF(F9=0,0,'BY24 Update'!H18)</f>
        <v>0</v>
      </c>
      <c r="G27" s="386">
        <f>IF(G9=0,0,'BY24 Update'!H18)</f>
        <v>0</v>
      </c>
      <c r="H27" s="386">
        <f>IF(H9=0,0,'BY24 Update'!H18)</f>
        <v>0</v>
      </c>
      <c r="I27" s="99"/>
    </row>
    <row r="28" spans="1:9" x14ac:dyDescent="0.2">
      <c r="A28" s="99">
        <v>25</v>
      </c>
      <c r="B28" s="99" t="s">
        <v>53</v>
      </c>
      <c r="C28" s="387">
        <f>C27*C9</f>
        <v>0</v>
      </c>
      <c r="D28" s="387">
        <f>D27*D9</f>
        <v>0</v>
      </c>
      <c r="E28" s="387">
        <f>E27*E9</f>
        <v>0</v>
      </c>
      <c r="F28" s="387">
        <f>F27*F9</f>
        <v>0</v>
      </c>
      <c r="G28" s="387">
        <f>G27*G9</f>
        <v>0</v>
      </c>
      <c r="H28" s="312">
        <f>(C28*$C$8+D28*$D$8+E28*$E$8+F28*$F$8+G28*$G$8)/$H$8</f>
        <v>0</v>
      </c>
      <c r="I28" s="99"/>
    </row>
    <row r="29" spans="1:9" x14ac:dyDescent="0.2">
      <c r="A29" s="99">
        <v>26</v>
      </c>
      <c r="B29" s="170" t="s">
        <v>17</v>
      </c>
      <c r="C29" s="382">
        <f>IF(C9=0,0,C9-C25-C28+($H$35*C8/$H$8/C8))</f>
        <v>0</v>
      </c>
      <c r="D29" s="382">
        <f>IF(D9=0,0,D9-D25-D28+($H$35*D8/$H$8/D8))</f>
        <v>0</v>
      </c>
      <c r="E29" s="382">
        <f>IF(E9=0,0,E9-E25-E28+($H$35*E8/$H$8/E8))</f>
        <v>0</v>
      </c>
      <c r="F29" s="382">
        <f>IF(F9=0,0,F9-F25-F28+($H$35*F8/$H$8/F8))</f>
        <v>0</v>
      </c>
      <c r="G29" s="382">
        <f>IF(G9=0,0,G9-G25-G28+($H$35*G8/$H$8/G8))</f>
        <v>0</v>
      </c>
      <c r="H29" s="384">
        <f>(C29*$C$8+D29*$D$8+E29*$E$8+F29*$F$8+G29*$G$8)/$H$8</f>
        <v>0</v>
      </c>
      <c r="I29" s="99"/>
    </row>
    <row r="30" spans="1:9" x14ac:dyDescent="0.2">
      <c r="A30" s="99">
        <v>27</v>
      </c>
      <c r="B30" s="170" t="s">
        <v>212</v>
      </c>
      <c r="C30" s="388">
        <f>(C29*C8)</f>
        <v>0</v>
      </c>
      <c r="D30" s="388">
        <f>(D29*D8)</f>
        <v>0</v>
      </c>
      <c r="E30" s="388">
        <f>(E29*E8)</f>
        <v>0</v>
      </c>
      <c r="F30" s="388">
        <f>(F29*F8)</f>
        <v>0</v>
      </c>
      <c r="G30" s="388">
        <f>(G29*G8)</f>
        <v>0</v>
      </c>
      <c r="H30" s="389">
        <f>SUM(C30:G30)</f>
        <v>0</v>
      </c>
      <c r="I30" s="99"/>
    </row>
    <row r="31" spans="1:9" x14ac:dyDescent="0.2">
      <c r="A31" s="99">
        <v>28</v>
      </c>
      <c r="B31" s="99" t="s">
        <v>23</v>
      </c>
      <c r="C31" s="390">
        <f>IF(C9=0,0,10)</f>
        <v>0</v>
      </c>
      <c r="D31" s="390">
        <f>IF(D9=0,0,0.5)</f>
        <v>0</v>
      </c>
      <c r="E31" s="390">
        <f>IF(E9=0,0,('OG units'!F19*2+'YG units'!F19*0.5)/E8)</f>
        <v>0</v>
      </c>
      <c r="F31" s="390">
        <f>IF(F9=0,0,6)</f>
        <v>0</v>
      </c>
      <c r="G31" s="390">
        <f>IF(G9=0,0,6)</f>
        <v>0</v>
      </c>
      <c r="H31" s="312">
        <f>(C31*$C$8+D31*$D$8+E31*$E$8+F31*$F$8+G31*$G$8)/$H$8</f>
        <v>0</v>
      </c>
      <c r="I31" s="99"/>
    </row>
    <row r="32" spans="1:9" x14ac:dyDescent="0.2">
      <c r="A32" s="99">
        <v>29</v>
      </c>
      <c r="B32" s="99" t="s">
        <v>4</v>
      </c>
      <c r="C32" s="231">
        <f>C31*C8</f>
        <v>0</v>
      </c>
      <c r="D32" s="231">
        <f>D31*D8</f>
        <v>0</v>
      </c>
      <c r="E32" s="231">
        <f>E31*E8</f>
        <v>0</v>
      </c>
      <c r="F32" s="231">
        <f>F31*F8</f>
        <v>0</v>
      </c>
      <c r="G32" s="231">
        <f>G31*G8</f>
        <v>0</v>
      </c>
      <c r="H32" s="296">
        <f>IF(H9="#VALUE!","#VALUE!",SUM(C32:G32))</f>
        <v>0</v>
      </c>
      <c r="I32" s="99"/>
    </row>
    <row r="33" spans="1:9" x14ac:dyDescent="0.2">
      <c r="A33" s="99">
        <v>30</v>
      </c>
      <c r="B33" s="99" t="s">
        <v>24</v>
      </c>
      <c r="C33" s="405"/>
      <c r="D33" s="405"/>
      <c r="E33" s="405"/>
      <c r="F33" s="405"/>
      <c r="G33" s="405"/>
      <c r="H33" s="231">
        <f>IF(H9="#VALUE!","#VALUE!",'Input Pg1'!C47)</f>
        <v>0</v>
      </c>
      <c r="I33" s="99"/>
    </row>
    <row r="34" spans="1:9" ht="18.75" x14ac:dyDescent="0.3">
      <c r="A34" s="99">
        <v>31</v>
      </c>
      <c r="B34" s="99" t="s">
        <v>25</v>
      </c>
      <c r="C34" s="405"/>
      <c r="D34" s="406" t="s">
        <v>629</v>
      </c>
      <c r="E34" s="405"/>
      <c r="F34" s="405"/>
      <c r="G34" s="405"/>
      <c r="H34" s="231">
        <f>IF(H9=0,0,H33+(0.5*H8))</f>
        <v>0</v>
      </c>
      <c r="I34" s="99"/>
    </row>
    <row r="35" spans="1:9" ht="18.75" x14ac:dyDescent="0.3">
      <c r="A35" s="99">
        <v>32</v>
      </c>
      <c r="B35" s="99" t="s">
        <v>3</v>
      </c>
      <c r="C35" s="405"/>
      <c r="D35" s="407" t="s">
        <v>421</v>
      </c>
      <c r="E35" s="405"/>
      <c r="F35" s="405"/>
      <c r="G35" s="405"/>
      <c r="H35" s="395">
        <f>IF(H9="#VALUE!","#VALUE!",'Input Pg1'!C46)</f>
        <v>0</v>
      </c>
      <c r="I35" s="99"/>
    </row>
    <row r="36" spans="1:9" x14ac:dyDescent="0.2">
      <c r="A36" s="99">
        <v>33</v>
      </c>
      <c r="B36" s="99" t="s">
        <v>26</v>
      </c>
      <c r="C36" s="405"/>
      <c r="D36" s="405"/>
      <c r="E36" s="405"/>
      <c r="F36" s="405"/>
      <c r="G36" s="405"/>
      <c r="H36" s="231">
        <f>IF(H34-H32&lt;0,0,H34-H32)</f>
        <v>0</v>
      </c>
      <c r="I36" s="99"/>
    </row>
    <row r="37" spans="1:9" x14ac:dyDescent="0.2">
      <c r="A37" s="99">
        <v>34</v>
      </c>
      <c r="B37" s="99" t="s">
        <v>27</v>
      </c>
      <c r="C37" s="382">
        <f>IF(C9=0,0,C29-C31)</f>
        <v>0</v>
      </c>
      <c r="D37" s="382">
        <f>IF(D9=0,0,D29-D31)</f>
        <v>0</v>
      </c>
      <c r="E37" s="382">
        <f>IF(E9=0,0,E29-E31)</f>
        <v>0</v>
      </c>
      <c r="F37" s="382">
        <f>IF(F9=0,0,F29-F31)</f>
        <v>0</v>
      </c>
      <c r="G37" s="382">
        <f>IF(G9=0,0,G29-G31)</f>
        <v>0</v>
      </c>
      <c r="H37" s="99"/>
      <c r="I37" s="99"/>
    </row>
    <row r="38" spans="1:9" x14ac:dyDescent="0.2">
      <c r="A38" s="99">
        <v>35</v>
      </c>
      <c r="B38" s="99" t="s">
        <v>5</v>
      </c>
      <c r="C38" s="388">
        <f>IF(C37&gt;0,0,C37*C8)</f>
        <v>0</v>
      </c>
      <c r="D38" s="388">
        <f>IF(D37&gt;0,0,D37*D8)</f>
        <v>0</v>
      </c>
      <c r="E38" s="388">
        <f>IF(E37&gt;0,0,E37*E8)</f>
        <v>0</v>
      </c>
      <c r="F38" s="388">
        <f>IF(F37&gt;0,0,F37*F8)</f>
        <v>0</v>
      </c>
      <c r="G38" s="388">
        <f>IF(G37&gt;0,0,G37*G8)</f>
        <v>0</v>
      </c>
      <c r="H38" s="231">
        <f>SUM(C38:G38)</f>
        <v>0</v>
      </c>
      <c r="I38" s="99"/>
    </row>
    <row r="39" spans="1:9" x14ac:dyDescent="0.2">
      <c r="A39" s="99">
        <v>36</v>
      </c>
      <c r="B39" s="99" t="s">
        <v>8</v>
      </c>
      <c r="C39" s="388">
        <f>IF(C37&gt;0,C37*C8,0)</f>
        <v>0</v>
      </c>
      <c r="D39" s="388">
        <f>IF(D37&gt;0,D37*D8,0)</f>
        <v>0</v>
      </c>
      <c r="E39" s="388">
        <f>IF(E37&gt;0,E37*E8,0)</f>
        <v>0</v>
      </c>
      <c r="F39" s="388">
        <f>IF(F37&gt;0,F37*F8,0)</f>
        <v>0</v>
      </c>
      <c r="G39" s="388">
        <f>IF(G37&gt;0,G37*G8,0)</f>
        <v>0</v>
      </c>
      <c r="H39" s="388">
        <f>SUM(C39:G39)</f>
        <v>0</v>
      </c>
      <c r="I39" s="99"/>
    </row>
    <row r="40" spans="1:9" x14ac:dyDescent="0.2">
      <c r="A40" s="99">
        <v>37</v>
      </c>
      <c r="B40" s="99" t="s">
        <v>29</v>
      </c>
      <c r="C40" s="388">
        <f>IF($H$39=0,(C8/$H$8)*$H$36,$H$36/$H$39*C39)</f>
        <v>0</v>
      </c>
      <c r="D40" s="388">
        <f>IF($H$39=0,(D8/$H$8)*$H$36,$H$36/$H$39*D39)</f>
        <v>0</v>
      </c>
      <c r="E40" s="388">
        <f>IF($H$39=0,(E8/$H$8)*$H$36,$H$36/$H$39*E39)</f>
        <v>0</v>
      </c>
      <c r="F40" s="388">
        <f>IF($H$39=0,(F8/$H$8)*$H$36,$H$36/$H$39*F39)</f>
        <v>0</v>
      </c>
      <c r="G40" s="388">
        <f>IF($H$39=0,(G8/$H$8)*$H$36,$H$36/$H$39*G39)</f>
        <v>0</v>
      </c>
      <c r="H40" s="388">
        <f>H36</f>
        <v>0</v>
      </c>
      <c r="I40" s="99"/>
    </row>
    <row r="41" spans="1:9" x14ac:dyDescent="0.2">
      <c r="A41" s="99">
        <v>38</v>
      </c>
      <c r="B41" s="99" t="s">
        <v>30</v>
      </c>
      <c r="C41" s="382">
        <f t="shared" ref="C41:H41" si="2">IF(C9=0,0,C40/C8)</f>
        <v>0</v>
      </c>
      <c r="D41" s="382">
        <f t="shared" si="2"/>
        <v>0</v>
      </c>
      <c r="E41" s="382">
        <f t="shared" si="2"/>
        <v>0</v>
      </c>
      <c r="F41" s="382">
        <f t="shared" si="2"/>
        <v>0</v>
      </c>
      <c r="G41" s="382">
        <f t="shared" si="2"/>
        <v>0</v>
      </c>
      <c r="H41" s="390">
        <f t="shared" si="2"/>
        <v>0</v>
      </c>
      <c r="I41" s="99"/>
    </row>
    <row r="42" spans="1:9" x14ac:dyDescent="0.2">
      <c r="A42" s="99">
        <v>39</v>
      </c>
      <c r="B42" s="99" t="s">
        <v>6</v>
      </c>
      <c r="C42" s="382">
        <f>IF(C9=0,0,C41+C31)</f>
        <v>0</v>
      </c>
      <c r="D42" s="382">
        <f>IF(D9=0,0,D41+D31)</f>
        <v>0</v>
      </c>
      <c r="E42" s="382">
        <f>IF(E9=0,0,E41+E31)</f>
        <v>0</v>
      </c>
      <c r="F42" s="382">
        <f>IF(F9=0,0,F41+F31)</f>
        <v>0</v>
      </c>
      <c r="G42" s="382">
        <f>IF(G9=0,0,G41+G31)</f>
        <v>0</v>
      </c>
      <c r="H42" s="396">
        <f>H43/H8</f>
        <v>0</v>
      </c>
      <c r="I42" s="99"/>
    </row>
    <row r="43" spans="1:9" x14ac:dyDescent="0.2">
      <c r="A43" s="99">
        <v>40</v>
      </c>
      <c r="B43" s="99" t="s">
        <v>7</v>
      </c>
      <c r="C43" s="388">
        <f>C42*C8</f>
        <v>0</v>
      </c>
      <c r="D43" s="388">
        <f>D42*D8</f>
        <v>0</v>
      </c>
      <c r="E43" s="388">
        <f>E42*E8</f>
        <v>0</v>
      </c>
      <c r="F43" s="388">
        <f>F42*F8</f>
        <v>0</v>
      </c>
      <c r="G43" s="388">
        <f>G42*G8</f>
        <v>0</v>
      </c>
      <c r="H43" s="397">
        <f>SUM(C43:G43)</f>
        <v>0</v>
      </c>
      <c r="I43" s="99"/>
    </row>
    <row r="44" spans="1:9" x14ac:dyDescent="0.2">
      <c r="A44" s="99">
        <v>41</v>
      </c>
      <c r="B44" s="99" t="s">
        <v>28</v>
      </c>
      <c r="C44" s="382">
        <f>C29-C42</f>
        <v>0</v>
      </c>
      <c r="D44" s="382">
        <f>D29-D42</f>
        <v>0</v>
      </c>
      <c r="E44" s="382">
        <f>E29-E42</f>
        <v>0</v>
      </c>
      <c r="F44" s="382">
        <f>F29-F42</f>
        <v>0</v>
      </c>
      <c r="G44" s="382">
        <f>G29-G42</f>
        <v>0</v>
      </c>
      <c r="H44" s="296"/>
      <c r="I44" s="99"/>
    </row>
    <row r="45" spans="1:9" x14ac:dyDescent="0.2">
      <c r="A45" s="99">
        <v>42</v>
      </c>
      <c r="B45" s="99" t="s">
        <v>5</v>
      </c>
      <c r="C45" s="388">
        <f>IF(C44&gt;0,0,C44*C8)</f>
        <v>0</v>
      </c>
      <c r="D45" s="388">
        <f>IF(D44&gt;0,0,D44*D8)</f>
        <v>0</v>
      </c>
      <c r="E45" s="388">
        <f>IF(E44&gt;0,0,E44*E8)</f>
        <v>0</v>
      </c>
      <c r="F45" s="388">
        <f>IF(F44&gt;0,0,F44*F8)</f>
        <v>0</v>
      </c>
      <c r="G45" s="388">
        <f>IF(G44&gt;0,0,G44*G8)</f>
        <v>0</v>
      </c>
      <c r="H45" s="296">
        <f>SUM(C45:G45)</f>
        <v>0</v>
      </c>
      <c r="I45" s="99"/>
    </row>
    <row r="46" spans="1:9" x14ac:dyDescent="0.2">
      <c r="A46" s="99">
        <v>43</v>
      </c>
      <c r="B46" s="99" t="s">
        <v>8</v>
      </c>
      <c r="C46" s="388">
        <f>IF(C44&gt;0,C44*C8,0)</f>
        <v>0</v>
      </c>
      <c r="D46" s="388">
        <f>IF(D44&gt;0,D44*D8,0)</f>
        <v>0</v>
      </c>
      <c r="E46" s="388">
        <f>IF(E44&gt;0,E44*E8,0)</f>
        <v>0</v>
      </c>
      <c r="F46" s="388">
        <f>IF(F44&gt;0,F44*F8,0)</f>
        <v>0</v>
      </c>
      <c r="G46" s="388">
        <f>IF(G44&gt;0,G44*G8,0)</f>
        <v>0</v>
      </c>
      <c r="H46" s="296">
        <f>SUM(C46:G46)</f>
        <v>0</v>
      </c>
      <c r="I46" s="99"/>
    </row>
    <row r="47" spans="1:9" x14ac:dyDescent="0.2">
      <c r="A47" s="99">
        <v>44</v>
      </c>
      <c r="B47" s="99" t="s">
        <v>46</v>
      </c>
      <c r="C47" s="388">
        <f>IF(H47&lt;0,0,IF(C46&gt;0,$H$47/$H$46*C46,0))</f>
        <v>0</v>
      </c>
      <c r="D47" s="388">
        <f>IF(H47&lt;0,0,IF(D46&gt;0,$H$47/$H$46*D46,0))</f>
        <v>0</v>
      </c>
      <c r="E47" s="388">
        <f>IF(H47&lt;0,0,IF(E46&gt;0,$H$47/$H$46*E46,0))</f>
        <v>0</v>
      </c>
      <c r="F47" s="388">
        <f>IF(H47&lt;0,0,IF(F46&gt;0,$H$47/$H$46*F46,0))</f>
        <v>0</v>
      </c>
      <c r="G47" s="388">
        <f>IF(H47&lt;0,0,IF(G46&gt;0,$H$47/$H$46*G46,0))</f>
        <v>0</v>
      </c>
      <c r="H47" s="296">
        <f>H46+H45</f>
        <v>0</v>
      </c>
      <c r="I47" s="99"/>
    </row>
    <row r="48" spans="1:9" x14ac:dyDescent="0.2">
      <c r="A48" s="99">
        <v>45</v>
      </c>
      <c r="B48" s="99" t="s">
        <v>47</v>
      </c>
      <c r="C48" s="382">
        <f>IF(C47&gt;0,(C46-C47)/C8*-1,C44*-1)</f>
        <v>0</v>
      </c>
      <c r="D48" s="382">
        <f>IF(D47&gt;0,(D46-D47)/D8*-1,D44*-1)</f>
        <v>0</v>
      </c>
      <c r="E48" s="382">
        <f>IF(E47&gt;0,(E46-E47)/E8*-1,E44*-1)</f>
        <v>0</v>
      </c>
      <c r="F48" s="382">
        <f>IF(F47&gt;0,(F46-F47)/F8*-1,F44*-1)</f>
        <v>0</v>
      </c>
      <c r="G48" s="382">
        <f>IF(G47&gt;0,(G46-G47)/G8*-1,G44*-1)</f>
        <v>0</v>
      </c>
      <c r="H48" s="382">
        <f>C48*(C8/H8)+D48*(D8/H8)+E48*(E8/H8)+F48*(F8/H8)+G48*(G8/H8)</f>
        <v>0</v>
      </c>
      <c r="I48" s="99"/>
    </row>
    <row r="49" spans="1:9" x14ac:dyDescent="0.2">
      <c r="A49" s="99">
        <v>46</v>
      </c>
      <c r="B49" s="170" t="s">
        <v>48</v>
      </c>
      <c r="C49" s="382">
        <f>IF('Input Pg1'!C66+'Input Pg1'!C67=0,0,C29+C48)</f>
        <v>0</v>
      </c>
      <c r="D49" s="382">
        <f>IF('Input Pg1'!C68=0,0,D29+D48)</f>
        <v>0</v>
      </c>
      <c r="E49" s="382">
        <f>IF('Input Pg1'!C69=0,0,E29+E48)</f>
        <v>0</v>
      </c>
      <c r="F49" s="382">
        <f>IF('Input Pg1'!C70=0,0,F29+F48)</f>
        <v>0</v>
      </c>
      <c r="G49" s="382">
        <f>IF('Input Pg1'!C71=0,0,G29+G48)</f>
        <v>0</v>
      </c>
      <c r="H49" s="384">
        <f>H50/H8</f>
        <v>0</v>
      </c>
      <c r="I49" s="99"/>
    </row>
    <row r="50" spans="1:9" x14ac:dyDescent="0.2">
      <c r="A50" s="99">
        <v>47</v>
      </c>
      <c r="B50" s="170" t="s">
        <v>9</v>
      </c>
      <c r="C50" s="388">
        <f>C49*C8</f>
        <v>0</v>
      </c>
      <c r="D50" s="388">
        <f>D49*D8</f>
        <v>0</v>
      </c>
      <c r="E50" s="388">
        <f>E49*E8</f>
        <v>0</v>
      </c>
      <c r="F50" s="388">
        <f>F49*F8</f>
        <v>0</v>
      </c>
      <c r="G50" s="388">
        <f>G49*G8</f>
        <v>0</v>
      </c>
      <c r="H50" s="398">
        <f>SUM(C50:G50)</f>
        <v>0</v>
      </c>
      <c r="I50" s="99"/>
    </row>
    <row r="51" spans="1:9" x14ac:dyDescent="0.2">
      <c r="A51" s="99">
        <v>48</v>
      </c>
      <c r="B51" s="399" t="s">
        <v>149</v>
      </c>
      <c r="C51" s="400">
        <f>IF(H43&gt;H30,H43-H30,0)</f>
        <v>0</v>
      </c>
      <c r="D51" s="400"/>
      <c r="E51" s="401"/>
      <c r="F51" s="401"/>
      <c r="G51" s="401"/>
      <c r="H51" s="99"/>
      <c r="I51" s="99"/>
    </row>
    <row r="52" spans="1:9" x14ac:dyDescent="0.2">
      <c r="A52" s="99"/>
      <c r="B52" s="99"/>
      <c r="C52" s="401"/>
      <c r="D52" s="402"/>
      <c r="E52" s="401"/>
      <c r="F52" s="401" t="s">
        <v>51</v>
      </c>
      <c r="G52" s="401"/>
      <c r="H52" s="99"/>
      <c r="I52" s="99"/>
    </row>
    <row r="53" spans="1:9" x14ac:dyDescent="0.2">
      <c r="A53" s="99"/>
      <c r="B53" s="99"/>
      <c r="C53" s="401"/>
      <c r="D53" s="401"/>
      <c r="E53" s="401"/>
      <c r="F53" s="401"/>
      <c r="G53" s="401"/>
      <c r="H53" s="99"/>
      <c r="I53" s="99"/>
    </row>
    <row r="54" spans="1:9" x14ac:dyDescent="0.2">
      <c r="C54" s="2"/>
      <c r="D54" s="2"/>
      <c r="E54" s="2"/>
      <c r="F54" s="2"/>
      <c r="G54" s="2"/>
    </row>
  </sheetData>
  <sheetProtection algorithmName="SHA-512" hashValue="u7jv/RWdyfpCTMVub+X2atp07El7VzrDQa8UpK6pT5Bj5c9hiDBgn7RxLGJQ2/JflbeNEspRabSnGV+XRBaaAA==" saltValue="nFK8tmaf2SXFYa+2xrF2ng==" spinCount="100000" sheet="1" objects="1" scenarios="1"/>
  <printOptions gridLines="1"/>
  <pageMargins left="0.25" right="0.25" top="0.25" bottom="0.25" header="0.5" footer="0.5"/>
  <pageSetup paperSize="3" orientation="landscape" r:id="rId1"/>
  <headerFooter alignWithMargins="0"/>
  <ignoredErrors>
    <ignoredError sqref="C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99"/>
    <pageSetUpPr fitToPage="1"/>
  </sheetPr>
  <dimension ref="A1:I61"/>
  <sheetViews>
    <sheetView zoomScale="90" zoomScaleNormal="90" workbookViewId="0">
      <selection activeCell="A100" sqref="A100"/>
    </sheetView>
  </sheetViews>
  <sheetFormatPr defaultColWidth="9.140625" defaultRowHeight="12.75" x14ac:dyDescent="0.2"/>
  <cols>
    <col min="1" max="1" width="64.5703125" customWidth="1"/>
    <col min="2" max="2" width="20.85546875" customWidth="1"/>
    <col min="3" max="3" width="21.140625" customWidth="1"/>
    <col min="4" max="4" width="20.7109375" customWidth="1"/>
    <col min="5" max="5" width="21" bestFit="1" customWidth="1"/>
    <col min="6" max="6" width="22.85546875" customWidth="1"/>
    <col min="7" max="7" width="14.7109375" customWidth="1"/>
    <col min="8" max="8" width="20.28515625" customWidth="1"/>
    <col min="9" max="10" width="14.7109375" customWidth="1"/>
  </cols>
  <sheetData>
    <row r="1" spans="1:9" ht="18.75" x14ac:dyDescent="0.3">
      <c r="A1" s="440" t="s">
        <v>630</v>
      </c>
      <c r="B1" s="99"/>
      <c r="C1" s="99"/>
      <c r="D1" s="408"/>
      <c r="F1" s="99"/>
      <c r="G1" s="99"/>
      <c r="I1" s="99"/>
    </row>
    <row r="2" spans="1:9" ht="25.15" customHeight="1" x14ac:dyDescent="0.2">
      <c r="A2" s="284" t="s">
        <v>207</v>
      </c>
      <c r="B2" s="437">
        <f>IF('OG units'!F1=0, 'YG units'!F1,'OG units'!F1)</f>
        <v>0</v>
      </c>
      <c r="C2" s="99"/>
      <c r="D2" s="99"/>
      <c r="E2" s="99"/>
      <c r="F2" s="99"/>
      <c r="G2" s="124"/>
      <c r="H2" s="99"/>
    </row>
    <row r="3" spans="1:9" ht="16.350000000000001" customHeight="1" x14ac:dyDescent="0.2">
      <c r="A3" s="287" t="s">
        <v>116</v>
      </c>
      <c r="B3" s="437">
        <f>IF('OG units'!I1=0, 'YG units'!I1,'OG units'!I1)</f>
        <v>0</v>
      </c>
      <c r="C3" s="437" t="str">
        <f>IF('OG units'!B19=0, 'YG units'!J1,'OG units'!J1)</f>
        <v>7 inch DIB</v>
      </c>
      <c r="D3" s="99"/>
      <c r="E3" s="99"/>
      <c r="F3" s="99"/>
      <c r="G3" s="124"/>
      <c r="H3" s="99"/>
    </row>
    <row r="4" spans="1:9" ht="16.350000000000001" customHeight="1" x14ac:dyDescent="0.2">
      <c r="A4" s="287" t="s">
        <v>208</v>
      </c>
      <c r="B4" s="438">
        <f>IF('OG units'!M1=0, 'YG units'!M1,'OG units'!M1)</f>
        <v>0</v>
      </c>
      <c r="C4" s="99"/>
      <c r="D4" s="99"/>
      <c r="E4" s="99"/>
      <c r="F4" s="99"/>
      <c r="G4" s="124"/>
      <c r="H4" s="99"/>
    </row>
    <row r="5" spans="1:9" x14ac:dyDescent="0.2">
      <c r="A5" s="99"/>
      <c r="B5" s="99"/>
      <c r="C5" s="99"/>
      <c r="D5" s="99"/>
      <c r="E5" s="99"/>
      <c r="F5" s="99"/>
      <c r="G5" s="124"/>
      <c r="H5" s="99"/>
    </row>
    <row r="6" spans="1:9" x14ac:dyDescent="0.2">
      <c r="A6" s="284" t="s">
        <v>424</v>
      </c>
      <c r="B6" s="99"/>
      <c r="C6" s="379" t="s">
        <v>540</v>
      </c>
      <c r="E6" s="99"/>
      <c r="F6" s="99"/>
      <c r="G6" s="124"/>
      <c r="H6" s="99"/>
    </row>
    <row r="7" spans="1:9" x14ac:dyDescent="0.2">
      <c r="A7" s="287" t="s">
        <v>529</v>
      </c>
      <c r="B7" s="410">
        <f>IF(Estimate1!C8=0,0,Estimate1!C8)</f>
        <v>1E-14</v>
      </c>
      <c r="C7" s="411">
        <f>IF(B7&lt;0.005,0,B7/$B$12)</f>
        <v>0</v>
      </c>
      <c r="D7" s="99"/>
      <c r="E7" s="99"/>
      <c r="F7" s="99"/>
      <c r="G7" s="124"/>
      <c r="H7" s="99"/>
    </row>
    <row r="8" spans="1:9" x14ac:dyDescent="0.2">
      <c r="A8" s="287" t="s">
        <v>530</v>
      </c>
      <c r="B8" s="410">
        <f>IF(Estimate1!D8=0,0,Estimate1!D8)</f>
        <v>1E-14</v>
      </c>
      <c r="C8" s="411">
        <f>IF(B8&lt;0.005,0,B8/$B$12)</f>
        <v>0</v>
      </c>
      <c r="D8" s="99"/>
      <c r="E8" s="99"/>
      <c r="F8" s="99"/>
      <c r="G8" s="124"/>
      <c r="H8" s="99"/>
    </row>
    <row r="9" spans="1:9" x14ac:dyDescent="0.2">
      <c r="A9" s="287" t="s">
        <v>425</v>
      </c>
      <c r="B9" s="410">
        <f>IF(Estimate1!E8=0,0,Estimate1!E8)</f>
        <v>1E-14</v>
      </c>
      <c r="C9" s="411">
        <f>IF(B9&lt;0.005,0,B9/$B$12)</f>
        <v>0</v>
      </c>
      <c r="D9" s="99"/>
      <c r="E9" s="99"/>
      <c r="F9" s="99"/>
      <c r="G9" s="124"/>
      <c r="H9" s="99"/>
    </row>
    <row r="10" spans="1:9" x14ac:dyDescent="0.2">
      <c r="A10" s="287" t="s">
        <v>439</v>
      </c>
      <c r="B10" s="410">
        <f>IF(Estimate1!F8=0,0,Estimate1!F8)</f>
        <v>1E-14</v>
      </c>
      <c r="C10" s="411">
        <f>IF(B10&lt;0.005,0,B10/$B$12)</f>
        <v>0</v>
      </c>
      <c r="D10" s="99"/>
      <c r="E10" s="99"/>
      <c r="F10" s="99"/>
      <c r="G10" s="124"/>
      <c r="H10" s="99"/>
    </row>
    <row r="11" spans="1:9" x14ac:dyDescent="0.2">
      <c r="A11" s="287" t="s">
        <v>440</v>
      </c>
      <c r="B11" s="410">
        <f>IF(Estimate1!G8=0,0,Estimate1!G8)</f>
        <v>1E-14</v>
      </c>
      <c r="C11" s="411">
        <f>IF(B11&lt;0.005,0,B11/$B$12)</f>
        <v>0</v>
      </c>
      <c r="D11" s="99"/>
      <c r="E11" s="99"/>
      <c r="F11" s="99"/>
      <c r="G11" s="124"/>
      <c r="H11" s="99"/>
    </row>
    <row r="12" spans="1:9" x14ac:dyDescent="0.2">
      <c r="A12" s="287" t="s">
        <v>131</v>
      </c>
      <c r="B12" s="476">
        <f>'Input Pg1'!C60</f>
        <v>0</v>
      </c>
      <c r="C12" s="99"/>
      <c r="D12" s="99"/>
      <c r="E12" s="99"/>
      <c r="F12" s="99"/>
      <c r="G12" s="124"/>
      <c r="H12" s="99"/>
    </row>
    <row r="13" spans="1:9" x14ac:dyDescent="0.2">
      <c r="A13" s="287"/>
      <c r="B13" s="412"/>
      <c r="C13" s="99"/>
      <c r="D13" s="99"/>
      <c r="E13" s="99"/>
      <c r="F13" s="99"/>
      <c r="G13" s="124"/>
      <c r="H13" s="99"/>
    </row>
    <row r="14" spans="1:9" x14ac:dyDescent="0.2">
      <c r="A14" s="413"/>
      <c r="B14" s="519" t="s">
        <v>422</v>
      </c>
      <c r="C14" s="379" t="s">
        <v>541</v>
      </c>
      <c r="D14" s="99"/>
      <c r="E14" s="414" t="s">
        <v>423</v>
      </c>
      <c r="F14" s="379" t="s">
        <v>541</v>
      </c>
      <c r="G14" s="124"/>
      <c r="H14" s="99"/>
    </row>
    <row r="15" spans="1:9" x14ac:dyDescent="0.2">
      <c r="A15" s="287" t="s">
        <v>510</v>
      </c>
      <c r="B15" s="415">
        <f>IF('Input Pg1'!C60=0,0,Estimate1!H9*B12)</f>
        <v>0</v>
      </c>
      <c r="C15" s="379"/>
      <c r="D15" s="99"/>
      <c r="E15" s="416">
        <f>Estimate2!H9*B12</f>
        <v>0</v>
      </c>
      <c r="F15" s="99"/>
      <c r="G15" s="124"/>
      <c r="H15" s="99"/>
    </row>
    <row r="16" spans="1:9" x14ac:dyDescent="0.2">
      <c r="A16" s="287" t="s">
        <v>509</v>
      </c>
      <c r="B16" s="417">
        <f>IF('Input Pg1'!C60=0,0,Estimate1!H10*B12)</f>
        <v>0</v>
      </c>
      <c r="C16" s="411">
        <f>IF(B16=0,0,B16/$B$20)</f>
        <v>0</v>
      </c>
      <c r="D16" s="99"/>
      <c r="E16" s="417">
        <f>Estimate2!H10*B12</f>
        <v>0</v>
      </c>
      <c r="F16" s="411">
        <f>IF(E16=0,0,E16/$E$20)</f>
        <v>0</v>
      </c>
      <c r="G16" s="99"/>
      <c r="H16" s="99"/>
    </row>
    <row r="17" spans="1:9" x14ac:dyDescent="0.2">
      <c r="A17" s="287" t="s">
        <v>143</v>
      </c>
      <c r="B17" s="417">
        <f>IF('Input Pg1'!C60=0,0,Estimate1!H14*B12)</f>
        <v>0</v>
      </c>
      <c r="C17" s="411">
        <f>IF(B17=0,0,B17/$B$20)</f>
        <v>0</v>
      </c>
      <c r="D17" s="99"/>
      <c r="E17" s="417">
        <f>Estimate2!H14*B12</f>
        <v>0</v>
      </c>
      <c r="F17" s="411">
        <f>IF(E17=0,0,E17/$E$20)</f>
        <v>0</v>
      </c>
      <c r="G17" s="99"/>
      <c r="H17" s="99"/>
    </row>
    <row r="18" spans="1:9" x14ac:dyDescent="0.2">
      <c r="A18" s="287" t="s">
        <v>144</v>
      </c>
      <c r="B18" s="417">
        <f>IF('Input Pg1'!C60=0,0,(Estimate1!H15+Estimate1!H16+Estimate1!H17+Estimate1!H18+Estimate1!H19+Estimate1!H20)*B12)</f>
        <v>0</v>
      </c>
      <c r="C18" s="411">
        <f>IF(B18=0,0,B18/$B$20)</f>
        <v>0</v>
      </c>
      <c r="D18" s="99"/>
      <c r="E18" s="417">
        <f>(Estimate2!H15+Estimate2!H16+Estimate2!H17+Estimate2!H18+Estimate2!H19+Estimate2!H20)*B12</f>
        <v>0</v>
      </c>
      <c r="F18" s="411">
        <f>IF(E18=0,0,E18/$E$20)</f>
        <v>0</v>
      </c>
      <c r="G18" s="99"/>
      <c r="H18" s="99"/>
    </row>
    <row r="19" spans="1:9" x14ac:dyDescent="0.2">
      <c r="A19" s="287" t="s">
        <v>132</v>
      </c>
      <c r="B19" s="417">
        <f>IF('Input Pg1'!C60=0,0,(Estimate1!H22+Estimate1!H23)*B12)</f>
        <v>0</v>
      </c>
      <c r="C19" s="411">
        <f>IF(B19=0,0,B19/$B$20)</f>
        <v>0</v>
      </c>
      <c r="D19" s="99"/>
      <c r="E19" s="417">
        <f>(Estimate2!H22+Estimate2!H23)*B12</f>
        <v>0</v>
      </c>
      <c r="F19" s="411">
        <f>IF(E19=0,0,E19/$E$20)</f>
        <v>0</v>
      </c>
      <c r="G19" s="99"/>
      <c r="H19" s="99"/>
    </row>
    <row r="20" spans="1:9" x14ac:dyDescent="0.2">
      <c r="A20" s="287" t="s">
        <v>384</v>
      </c>
      <c r="B20" s="418">
        <f>IF('Input Pg1'!C60=0,0,Estimate1!H25*B12)</f>
        <v>0</v>
      </c>
      <c r="C20" s="99"/>
      <c r="D20" s="419"/>
      <c r="E20" s="415">
        <f>Estimate2!H25*B12</f>
        <v>0</v>
      </c>
      <c r="F20" s="420"/>
      <c r="G20" s="124"/>
      <c r="H20" s="99"/>
    </row>
    <row r="21" spans="1:9" x14ac:dyDescent="0.2">
      <c r="A21" s="409"/>
      <c r="B21" s="421"/>
      <c r="C21" s="99"/>
      <c r="D21" s="99"/>
      <c r="E21" s="99"/>
      <c r="F21" s="99"/>
      <c r="G21" s="124"/>
      <c r="H21" s="99"/>
    </row>
    <row r="22" spans="1:9" x14ac:dyDescent="0.2">
      <c r="A22" s="284" t="s">
        <v>140</v>
      </c>
      <c r="B22" s="422">
        <f>IF('Input Pg1'!C60=0,0,Estimate1!H30)</f>
        <v>0</v>
      </c>
      <c r="C22" s="99"/>
      <c r="D22" s="99"/>
      <c r="E22" s="415">
        <f>Estimate2!H30</f>
        <v>0</v>
      </c>
      <c r="F22" s="99"/>
      <c r="G22" s="124"/>
      <c r="H22" s="99"/>
    </row>
    <row r="23" spans="1:9" ht="15" x14ac:dyDescent="0.2">
      <c r="A23" s="287" t="s">
        <v>385</v>
      </c>
      <c r="B23" s="365">
        <f>IF('Input Pg1'!C60=0,0,Estimate1!H11)</f>
        <v>0</v>
      </c>
      <c r="C23" s="99"/>
      <c r="D23" s="99"/>
      <c r="E23" s="365">
        <f>Estimate2!H11</f>
        <v>0</v>
      </c>
      <c r="F23" s="99"/>
      <c r="G23" s="124"/>
      <c r="H23" s="99"/>
    </row>
    <row r="24" spans="1:9" ht="15" x14ac:dyDescent="0.2">
      <c r="A24" s="287" t="s">
        <v>386</v>
      </c>
      <c r="B24" s="365">
        <f>IF('Input Pg1'!C60=0,0,Estimate1!H24)</f>
        <v>0</v>
      </c>
      <c r="C24" s="99"/>
      <c r="D24" s="99"/>
      <c r="E24" s="365">
        <f>Estimate2!H24</f>
        <v>0</v>
      </c>
      <c r="F24" s="99"/>
      <c r="G24" s="124"/>
      <c r="H24" s="99"/>
    </row>
    <row r="25" spans="1:9" x14ac:dyDescent="0.2">
      <c r="A25" s="284" t="s">
        <v>146</v>
      </c>
      <c r="B25" s="423">
        <f>IF('Input Pg1'!C60=0,0,Estimate1!H29)</f>
        <v>0</v>
      </c>
      <c r="C25" s="99"/>
      <c r="D25" s="99"/>
      <c r="E25" s="423">
        <f>Estimate2!H29</f>
        <v>0</v>
      </c>
      <c r="F25" s="99"/>
      <c r="G25" s="124"/>
      <c r="H25" s="99"/>
    </row>
    <row r="26" spans="1:9" x14ac:dyDescent="0.2">
      <c r="A26" s="508" t="str">
        <f>IF(Estimate1!C51&gt;0,"deficit sale   ","")</f>
        <v/>
      </c>
      <c r="B26" s="425">
        <f>IF('Input Pg1'!C60=0,0,-Estimate1!C51)</f>
        <v>0</v>
      </c>
      <c r="C26" s="99"/>
      <c r="D26" s="508" t="str">
        <f>IF(Estimate2!C51&gt;0,"deficit sale   ","")</f>
        <v/>
      </c>
      <c r="E26" s="425">
        <f>-Estimate2!C51</f>
        <v>0</v>
      </c>
      <c r="F26" s="99"/>
      <c r="G26" s="124"/>
      <c r="H26" s="99"/>
    </row>
    <row r="27" spans="1:9" x14ac:dyDescent="0.2">
      <c r="A27" s="284"/>
      <c r="B27" s="424"/>
      <c r="C27" s="426"/>
      <c r="D27" s="99"/>
      <c r="E27" s="99"/>
      <c r="F27" s="99"/>
      <c r="G27" s="99"/>
      <c r="H27" s="124"/>
      <c r="I27" s="99"/>
    </row>
    <row r="28" spans="1:9" ht="13.5" thickBot="1" x14ac:dyDescent="0.25">
      <c r="A28" s="284"/>
      <c r="B28" s="424"/>
      <c r="C28" s="426"/>
      <c r="D28" s="99"/>
      <c r="E28" s="99"/>
      <c r="F28" s="99"/>
      <c r="G28" s="99"/>
      <c r="H28" s="99"/>
      <c r="I28" s="99"/>
    </row>
    <row r="29" spans="1:9" ht="15.75" x14ac:dyDescent="0.25">
      <c r="A29" s="494" t="s">
        <v>387</v>
      </c>
      <c r="B29" s="427" t="s">
        <v>135</v>
      </c>
      <c r="C29" s="207"/>
      <c r="D29" s="99"/>
      <c r="E29" s="99"/>
      <c r="F29" s="99"/>
      <c r="G29" s="99"/>
      <c r="H29" s="99"/>
      <c r="I29" s="99"/>
    </row>
    <row r="30" spans="1:9" ht="15" x14ac:dyDescent="0.2">
      <c r="A30" s="492" t="s">
        <v>388</v>
      </c>
      <c r="B30" s="428">
        <v>66.39</v>
      </c>
      <c r="C30" s="429">
        <f>+B30*$B$12</f>
        <v>0</v>
      </c>
      <c r="D30" s="121"/>
      <c r="E30" s="99"/>
      <c r="F30" s="99"/>
      <c r="G30" s="99"/>
      <c r="H30" s="99"/>
      <c r="I30" s="99"/>
    </row>
    <row r="31" spans="1:9" x14ac:dyDescent="0.2">
      <c r="A31" s="492" t="s">
        <v>133</v>
      </c>
      <c r="B31" s="430">
        <v>66.62</v>
      </c>
      <c r="C31" s="429">
        <f>+B31*$B$12</f>
        <v>0</v>
      </c>
      <c r="D31" s="99"/>
      <c r="E31" s="99"/>
      <c r="F31" s="99"/>
      <c r="G31" s="99"/>
      <c r="H31" s="99"/>
      <c r="I31" s="99"/>
    </row>
    <row r="32" spans="1:9" x14ac:dyDescent="0.2">
      <c r="A32" s="492" t="s">
        <v>134</v>
      </c>
      <c r="B32" s="430">
        <v>43.65</v>
      </c>
      <c r="C32" s="429">
        <f>+B32*$B$12</f>
        <v>0</v>
      </c>
      <c r="D32" s="99"/>
      <c r="E32" s="99"/>
      <c r="F32" s="99"/>
      <c r="G32" s="99"/>
      <c r="H32" s="99"/>
      <c r="I32" s="99"/>
    </row>
    <row r="33" spans="1:9" ht="13.5" thickBot="1" x14ac:dyDescent="0.25">
      <c r="A33" s="493" t="s">
        <v>158</v>
      </c>
      <c r="B33" s="431">
        <f>SUM(B30:B32)</f>
        <v>176.66</v>
      </c>
      <c r="C33" s="432">
        <f>$B$12*B33</f>
        <v>0</v>
      </c>
      <c r="D33" s="99"/>
      <c r="E33" s="99"/>
      <c r="F33" s="99"/>
      <c r="G33" s="99"/>
      <c r="H33" s="99"/>
      <c r="I33" s="99"/>
    </row>
    <row r="34" spans="1:9" x14ac:dyDescent="0.2">
      <c r="A34" s="283"/>
      <c r="B34" s="433"/>
      <c r="C34" s="99"/>
      <c r="D34" s="434"/>
      <c r="E34" s="99"/>
      <c r="F34" s="99"/>
      <c r="G34" s="99"/>
      <c r="H34" s="99"/>
      <c r="I34" s="99"/>
    </row>
    <row r="35" spans="1:9" ht="13.5" thickBot="1" x14ac:dyDescent="0.25">
      <c r="A35" s="287"/>
      <c r="B35" s="99"/>
      <c r="C35" s="99"/>
      <c r="D35" s="99"/>
      <c r="E35" s="99"/>
      <c r="F35" s="99"/>
      <c r="G35" s="99"/>
      <c r="H35" s="99"/>
      <c r="I35" s="99"/>
    </row>
    <row r="36" spans="1:9" ht="15.75" x14ac:dyDescent="0.25">
      <c r="A36" s="494" t="s">
        <v>389</v>
      </c>
      <c r="B36" s="427" t="s">
        <v>135</v>
      </c>
      <c r="C36" s="207"/>
      <c r="D36" s="99"/>
      <c r="E36" s="99"/>
      <c r="F36" s="99"/>
      <c r="G36" s="99"/>
      <c r="H36" s="99"/>
      <c r="I36" s="99"/>
    </row>
    <row r="37" spans="1:9" ht="15" x14ac:dyDescent="0.2">
      <c r="A37" s="492" t="s">
        <v>388</v>
      </c>
      <c r="B37" s="120" t="s">
        <v>139</v>
      </c>
      <c r="C37" s="212"/>
      <c r="D37" s="99"/>
      <c r="E37" s="99"/>
      <c r="F37" s="99"/>
      <c r="G37" s="99"/>
      <c r="H37" s="99"/>
      <c r="I37" s="99"/>
    </row>
    <row r="38" spans="1:9" x14ac:dyDescent="0.2">
      <c r="A38" s="492" t="s">
        <v>133</v>
      </c>
      <c r="B38" s="430">
        <f>B31</f>
        <v>66.62</v>
      </c>
      <c r="C38" s="429">
        <f>+B38*$B$12</f>
        <v>0</v>
      </c>
      <c r="D38" s="99"/>
      <c r="E38" s="99"/>
      <c r="F38" s="99"/>
      <c r="G38" s="99"/>
      <c r="H38" s="99"/>
      <c r="I38" s="99"/>
    </row>
    <row r="39" spans="1:9" x14ac:dyDescent="0.2">
      <c r="A39" s="492" t="s">
        <v>134</v>
      </c>
      <c r="B39" s="430">
        <f>B32</f>
        <v>43.65</v>
      </c>
      <c r="C39" s="429">
        <f>+B39*$B$12</f>
        <v>0</v>
      </c>
      <c r="D39" s="99"/>
      <c r="E39" s="99"/>
      <c r="F39" s="99"/>
      <c r="G39" s="99"/>
      <c r="H39" s="99"/>
      <c r="I39" s="99"/>
    </row>
    <row r="40" spans="1:9" ht="13.5" thickBot="1" x14ac:dyDescent="0.25">
      <c r="A40" s="493" t="s">
        <v>158</v>
      </c>
      <c r="B40" s="431">
        <f>SUM(B38:B39)</f>
        <v>110.27000000000001</v>
      </c>
      <c r="C40" s="432">
        <f>$B$12*B40</f>
        <v>0</v>
      </c>
      <c r="D40" s="99"/>
      <c r="E40" s="99"/>
      <c r="F40" s="99"/>
      <c r="G40" s="99"/>
      <c r="H40" s="99"/>
      <c r="I40" s="99"/>
    </row>
    <row r="41" spans="1:9" x14ac:dyDescent="0.2">
      <c r="A41" s="283"/>
      <c r="B41" s="433"/>
      <c r="C41" s="435"/>
      <c r="D41" s="434"/>
      <c r="E41" s="99"/>
      <c r="F41" s="99"/>
      <c r="G41" s="99"/>
      <c r="H41" s="99"/>
      <c r="I41" s="99"/>
    </row>
    <row r="42" spans="1:9" x14ac:dyDescent="0.2">
      <c r="A42" s="283"/>
      <c r="B42" s="436"/>
      <c r="C42" s="435"/>
      <c r="D42" s="99"/>
      <c r="E42" s="99"/>
      <c r="F42" s="99"/>
      <c r="G42" s="99"/>
      <c r="H42" s="99"/>
      <c r="I42" s="99"/>
    </row>
    <row r="43" spans="1:9" x14ac:dyDescent="0.2">
      <c r="A43" s="254" t="s">
        <v>390</v>
      </c>
      <c r="B43" s="124"/>
      <c r="C43" s="124"/>
      <c r="D43" s="99"/>
      <c r="E43" s="99"/>
      <c r="F43" s="99"/>
      <c r="G43" s="99"/>
      <c r="H43" s="99"/>
      <c r="I43" s="99"/>
    </row>
    <row r="44" spans="1:9" x14ac:dyDescent="0.2">
      <c r="A44" s="124" t="s">
        <v>391</v>
      </c>
      <c r="B44" s="124"/>
      <c r="C44" s="124"/>
      <c r="D44" s="99"/>
      <c r="E44" s="99"/>
      <c r="F44" s="99"/>
      <c r="G44" s="99"/>
      <c r="H44" s="99"/>
      <c r="I44" s="99"/>
    </row>
    <row r="45" spans="1:9" x14ac:dyDescent="0.2">
      <c r="A45" s="124" t="s">
        <v>589</v>
      </c>
      <c r="B45" s="124"/>
      <c r="C45" s="124"/>
      <c r="D45" s="99"/>
      <c r="E45" s="99"/>
      <c r="F45" s="99"/>
      <c r="G45" s="99"/>
      <c r="H45" s="99"/>
      <c r="I45" s="99"/>
    </row>
    <row r="46" spans="1:9" x14ac:dyDescent="0.2">
      <c r="A46" s="124" t="s">
        <v>392</v>
      </c>
      <c r="B46" s="124"/>
      <c r="C46" s="124"/>
      <c r="D46" s="99"/>
      <c r="E46" s="99"/>
      <c r="F46" s="99"/>
      <c r="G46" s="99"/>
      <c r="H46" s="99"/>
      <c r="I46" s="99"/>
    </row>
    <row r="47" spans="1:9" x14ac:dyDescent="0.2">
      <c r="A47" s="99"/>
      <c r="B47" s="99"/>
      <c r="C47" s="99"/>
      <c r="D47" s="99"/>
      <c r="E47" s="99"/>
      <c r="F47" s="99"/>
      <c r="G47" s="99"/>
      <c r="H47" s="99"/>
      <c r="I47" s="99"/>
    </row>
    <row r="48" spans="1:9" x14ac:dyDescent="0.2">
      <c r="A48" s="99"/>
      <c r="B48" s="99"/>
      <c r="C48" s="99"/>
      <c r="D48" s="99"/>
      <c r="E48" s="99"/>
      <c r="F48" s="99"/>
      <c r="G48" s="99"/>
      <c r="H48" s="99"/>
      <c r="I48" s="99"/>
    </row>
    <row r="49" spans="1:9" x14ac:dyDescent="0.2">
      <c r="A49" s="99"/>
      <c r="B49" s="99"/>
      <c r="C49" s="99"/>
      <c r="D49" s="99"/>
      <c r="E49" s="99"/>
      <c r="F49" s="99"/>
      <c r="G49" s="99"/>
      <c r="H49" s="99"/>
      <c r="I49" s="99"/>
    </row>
    <row r="50" spans="1:9" x14ac:dyDescent="0.2">
      <c r="A50" s="99"/>
      <c r="B50" s="99"/>
      <c r="C50" s="99"/>
      <c r="D50" s="99"/>
      <c r="E50" s="99"/>
      <c r="F50" s="99"/>
      <c r="G50" s="99"/>
      <c r="H50" s="99"/>
      <c r="I50" s="99"/>
    </row>
    <row r="51" spans="1:9" x14ac:dyDescent="0.2">
      <c r="A51" s="99"/>
      <c r="B51" s="99"/>
      <c r="C51" s="99"/>
      <c r="D51" s="99"/>
      <c r="E51" s="99"/>
      <c r="F51" s="99"/>
      <c r="G51" s="99"/>
      <c r="H51" s="99"/>
      <c r="I51" s="99"/>
    </row>
    <row r="52" spans="1:9" x14ac:dyDescent="0.2">
      <c r="A52" s="99"/>
      <c r="B52" s="99"/>
      <c r="C52" s="99"/>
      <c r="D52" s="99"/>
      <c r="E52" s="99"/>
      <c r="F52" s="99"/>
      <c r="G52" s="99"/>
      <c r="H52" s="99"/>
      <c r="I52" s="99"/>
    </row>
    <row r="53" spans="1:9" x14ac:dyDescent="0.2">
      <c r="A53" s="99"/>
      <c r="B53" s="99"/>
      <c r="C53" s="99"/>
      <c r="D53" s="99"/>
      <c r="E53" s="99"/>
      <c r="F53" s="99"/>
      <c r="G53" s="99"/>
      <c r="H53" s="99"/>
      <c r="I53" s="99"/>
    </row>
    <row r="54" spans="1:9" x14ac:dyDescent="0.2">
      <c r="A54" s="99"/>
      <c r="B54" s="99"/>
      <c r="C54" s="99"/>
      <c r="D54" s="99"/>
      <c r="E54" s="99"/>
      <c r="F54" s="99"/>
      <c r="G54" s="99"/>
      <c r="H54" s="99"/>
      <c r="I54" s="99"/>
    </row>
    <row r="55" spans="1:9" x14ac:dyDescent="0.2">
      <c r="A55" s="99"/>
      <c r="B55" s="99"/>
      <c r="C55" s="99"/>
      <c r="D55" s="99"/>
      <c r="E55" s="99"/>
      <c r="F55" s="99"/>
      <c r="G55" s="99"/>
      <c r="H55" s="99"/>
      <c r="I55" s="99"/>
    </row>
    <row r="56" spans="1:9" x14ac:dyDescent="0.2">
      <c r="A56" s="99"/>
      <c r="B56" s="99"/>
      <c r="C56" s="99"/>
      <c r="D56" s="99"/>
      <c r="E56" s="99"/>
      <c r="F56" s="99"/>
      <c r="G56" s="99"/>
      <c r="H56" s="99"/>
      <c r="I56" s="99"/>
    </row>
    <row r="57" spans="1:9" x14ac:dyDescent="0.2">
      <c r="A57" s="99"/>
      <c r="B57" s="99"/>
      <c r="C57" s="99"/>
      <c r="D57" s="99"/>
      <c r="E57" s="99"/>
      <c r="F57" s="99"/>
      <c r="G57" s="99"/>
      <c r="H57" s="99"/>
      <c r="I57" s="99"/>
    </row>
    <row r="58" spans="1:9" x14ac:dyDescent="0.2">
      <c r="A58" s="99"/>
      <c r="B58" s="99"/>
      <c r="C58" s="99"/>
      <c r="D58" s="99"/>
      <c r="E58" s="99"/>
      <c r="F58" s="99"/>
      <c r="G58" s="99"/>
      <c r="H58" s="99"/>
      <c r="I58" s="99"/>
    </row>
    <row r="59" spans="1:9" x14ac:dyDescent="0.2">
      <c r="A59" s="99"/>
      <c r="B59" s="99"/>
      <c r="C59" s="99"/>
      <c r="D59" s="99"/>
      <c r="E59" s="99"/>
      <c r="F59" s="99"/>
      <c r="G59" s="99"/>
      <c r="H59" s="99"/>
      <c r="I59" s="99"/>
    </row>
    <row r="60" spans="1:9" x14ac:dyDescent="0.2">
      <c r="A60" s="99"/>
      <c r="B60" s="99"/>
      <c r="C60" s="99"/>
      <c r="D60" s="99"/>
      <c r="E60" s="99"/>
      <c r="F60" s="99"/>
      <c r="G60" s="99"/>
      <c r="H60" s="99"/>
      <c r="I60" s="99"/>
    </row>
    <row r="61" spans="1:9" x14ac:dyDescent="0.2">
      <c r="A61" s="99"/>
      <c r="C61" s="99"/>
      <c r="D61" s="99"/>
      <c r="E61" s="99"/>
      <c r="F61" s="99"/>
      <c r="G61" s="99"/>
      <c r="H61" s="99"/>
    </row>
  </sheetData>
  <sheetProtection algorithmName="SHA-512" hashValue="x4FNuUeR9bwab27ArD4DUJAU/0g048AU6N4Yjl+6geU0+8dDEG1s6nNja6ImXZAT9ruoDaA3taVzOF2oYcTqww==" saltValue="Tpzup9/EM4p7/yCdkAqlRg==" spinCount="100000" sheet="1" objects="1" scenarios="1"/>
  <printOptions gridLines="1"/>
  <pageMargins left="0.45" right="0.45" top="0.5" bottom="0.5" header="0.3" footer="0.3"/>
  <pageSetup paperSize="3" scale="8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A11"/>
  <sheetViews>
    <sheetView workbookViewId="0">
      <selection activeCell="G6" sqref="G6"/>
    </sheetView>
  </sheetViews>
  <sheetFormatPr defaultRowHeight="12.75" x14ac:dyDescent="0.2"/>
  <sheetData>
    <row r="1" spans="1:1" x14ac:dyDescent="0.2">
      <c r="A1" s="58" t="s">
        <v>320</v>
      </c>
    </row>
    <row r="2" spans="1:1" x14ac:dyDescent="0.2">
      <c r="A2" t="s">
        <v>324</v>
      </c>
    </row>
    <row r="3" spans="1:1" x14ac:dyDescent="0.2">
      <c r="A3" t="s">
        <v>321</v>
      </c>
    </row>
    <row r="4" spans="1:1" x14ac:dyDescent="0.2">
      <c r="A4" t="s">
        <v>323</v>
      </c>
    </row>
    <row r="6" spans="1:1" x14ac:dyDescent="0.2">
      <c r="A6" s="58" t="s">
        <v>322</v>
      </c>
    </row>
    <row r="7" spans="1:1" x14ac:dyDescent="0.2">
      <c r="A7" t="s">
        <v>324</v>
      </c>
    </row>
    <row r="8" spans="1:1" x14ac:dyDescent="0.2">
      <c r="A8" t="s">
        <v>325</v>
      </c>
    </row>
    <row r="9" spans="1:1" x14ac:dyDescent="0.2">
      <c r="A9" t="s">
        <v>327</v>
      </c>
    </row>
    <row r="10" spans="1:1" x14ac:dyDescent="0.2">
      <c r="A10" t="s">
        <v>328</v>
      </c>
    </row>
    <row r="11" spans="1:1" x14ac:dyDescent="0.2">
      <c r="A11" t="s">
        <v>323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CC"/>
    <pageSetUpPr fitToPage="1"/>
  </sheetPr>
  <dimension ref="A1:O35"/>
  <sheetViews>
    <sheetView zoomScale="90" zoomScaleNormal="90" workbookViewId="0">
      <selection activeCell="C1" sqref="C1"/>
    </sheetView>
  </sheetViews>
  <sheetFormatPr defaultColWidth="9.140625" defaultRowHeight="12.75" x14ac:dyDescent="0.2"/>
  <cols>
    <col min="1" max="1" width="25.7109375" customWidth="1"/>
    <col min="2" max="2" width="10.85546875" customWidth="1"/>
    <col min="3" max="3" width="12.85546875" customWidth="1"/>
    <col min="4" max="4" width="13.7109375" style="33" customWidth="1"/>
    <col min="5" max="8" width="13.7109375" customWidth="1"/>
    <col min="9" max="10" width="11.7109375" style="11" customWidth="1"/>
    <col min="11" max="14" width="11.7109375" customWidth="1"/>
    <col min="15" max="15" width="9.5703125" style="11" customWidth="1"/>
  </cols>
  <sheetData>
    <row r="1" spans="1:15" ht="25.15" customHeight="1" x14ac:dyDescent="0.2">
      <c r="A1" s="1" t="s">
        <v>326</v>
      </c>
      <c r="B1" s="441" t="s">
        <v>329</v>
      </c>
      <c r="C1" s="100"/>
      <c r="D1" s="64"/>
      <c r="E1" s="7" t="s">
        <v>574</v>
      </c>
      <c r="F1" s="539"/>
      <c r="G1" s="540"/>
      <c r="H1" s="59" t="s">
        <v>573</v>
      </c>
      <c r="I1" s="491"/>
      <c r="J1" s="91" t="str">
        <f>IF(C5=9,"9 inch DIB",IF(C5=7,"7 inch DIB","other DIB"))</f>
        <v>7 inch DIB</v>
      </c>
      <c r="L1" s="62" t="s">
        <v>117</v>
      </c>
      <c r="M1" s="110"/>
      <c r="O1"/>
    </row>
    <row r="2" spans="1:15" x14ac:dyDescent="0.2">
      <c r="B2" s="35"/>
      <c r="D2"/>
      <c r="F2" s="36"/>
      <c r="G2" s="37"/>
      <c r="I2" s="34"/>
      <c r="J2" s="34"/>
      <c r="K2" s="38"/>
      <c r="L2" s="11"/>
      <c r="O2" s="39"/>
    </row>
    <row r="3" spans="1:15" x14ac:dyDescent="0.2">
      <c r="B3" s="66" t="s">
        <v>141</v>
      </c>
      <c r="C3" s="102"/>
      <c r="D3" s="103"/>
      <c r="E3" s="104"/>
      <c r="F3" s="104"/>
      <c r="G3" s="104"/>
      <c r="H3" s="104"/>
      <c r="I3" s="105"/>
      <c r="J3" s="34"/>
      <c r="K3" s="38"/>
      <c r="O3" s="39"/>
    </row>
    <row r="4" spans="1:15" x14ac:dyDescent="0.2">
      <c r="A4" s="1"/>
      <c r="B4" s="35"/>
      <c r="E4" s="8"/>
      <c r="F4" s="57" t="s">
        <v>406</v>
      </c>
      <c r="G4" s="63" t="s">
        <v>399</v>
      </c>
      <c r="H4" s="63" t="s">
        <v>85</v>
      </c>
      <c r="I4" s="57" t="s">
        <v>86</v>
      </c>
      <c r="O4" s="39"/>
    </row>
    <row r="5" spans="1:15" ht="49.5" customHeight="1" x14ac:dyDescent="0.2">
      <c r="B5" s="66" t="s">
        <v>283</v>
      </c>
      <c r="C5" s="106">
        <v>7</v>
      </c>
      <c r="E5" s="454" t="s">
        <v>354</v>
      </c>
      <c r="F5" s="455"/>
      <c r="G5" s="455"/>
      <c r="H5" s="455"/>
      <c r="I5" s="455"/>
      <c r="J5" s="505">
        <f>SUM(F5:I5)</f>
        <v>0</v>
      </c>
      <c r="K5" s="90" t="s">
        <v>115</v>
      </c>
      <c r="N5" s="8"/>
      <c r="O5" s="39"/>
    </row>
    <row r="6" spans="1:15" x14ac:dyDescent="0.2">
      <c r="A6" s="67" t="s">
        <v>505</v>
      </c>
      <c r="B6" s="41"/>
      <c r="C6" s="42"/>
      <c r="D6" s="43"/>
      <c r="E6" s="457"/>
      <c r="F6" s="570"/>
      <c r="G6" s="570"/>
      <c r="H6" s="570"/>
      <c r="I6" s="570"/>
      <c r="J6"/>
      <c r="K6" s="38"/>
      <c r="M6" s="36"/>
      <c r="N6" s="8"/>
      <c r="O6" s="39"/>
    </row>
    <row r="7" spans="1:15" x14ac:dyDescent="0.2">
      <c r="D7"/>
      <c r="H7" s="11"/>
      <c r="J7"/>
      <c r="N7" s="11"/>
      <c r="O7"/>
    </row>
    <row r="8" spans="1:15" s="5" customFormat="1" ht="57.75" customHeight="1" x14ac:dyDescent="0.15">
      <c r="A8" s="68" t="s">
        <v>463</v>
      </c>
      <c r="B8" s="68" t="s">
        <v>318</v>
      </c>
      <c r="C8" s="89" t="s">
        <v>504</v>
      </c>
      <c r="D8" s="69" t="s">
        <v>466</v>
      </c>
      <c r="E8" s="82" t="s">
        <v>467</v>
      </c>
      <c r="F8" s="82" t="s">
        <v>468</v>
      </c>
      <c r="G8" s="69" t="s">
        <v>469</v>
      </c>
      <c r="H8" s="69" t="s">
        <v>470</v>
      </c>
      <c r="I8" s="69" t="s">
        <v>559</v>
      </c>
      <c r="J8" s="69" t="s">
        <v>502</v>
      </c>
      <c r="K8" s="69" t="s">
        <v>558</v>
      </c>
      <c r="L8" s="69" t="s">
        <v>560</v>
      </c>
      <c r="M8" s="69" t="s">
        <v>561</v>
      </c>
      <c r="N8" s="69" t="s">
        <v>562</v>
      </c>
      <c r="O8" s="571"/>
    </row>
    <row r="9" spans="1:15" x14ac:dyDescent="0.2">
      <c r="A9" s="107"/>
      <c r="B9" s="108"/>
      <c r="C9" s="109"/>
      <c r="D9" s="70">
        <f t="shared" ref="D9:D18" si="0">B9*C9</f>
        <v>0</v>
      </c>
      <c r="E9" s="70">
        <f t="shared" ref="E9:E18" si="1">IF($F$5=0,0,D9*$F$5)</f>
        <v>0</v>
      </c>
      <c r="F9" s="70">
        <f t="shared" ref="F9:F18" si="2">IF($G$5=0,0,D9*$G$5)</f>
        <v>0</v>
      </c>
      <c r="G9" s="70">
        <f t="shared" ref="G9:G18" si="3">IF($H$5=0,0,D9*$H$5)</f>
        <v>0</v>
      </c>
      <c r="H9" s="70">
        <f t="shared" ref="H9:H18" si="4">IF($I$5=0,0,D9*$I$5)</f>
        <v>0</v>
      </c>
      <c r="I9" s="83">
        <f t="shared" ref="I9:I18" si="5">IF(A9&lt;&gt;"Short Cable CC",0,B9)</f>
        <v>0</v>
      </c>
      <c r="J9" s="83">
        <f t="shared" ref="J9:J18" si="6">IF(A9&lt;&gt;"Shovel CC",0,B9)</f>
        <v>0</v>
      </c>
      <c r="K9" s="83">
        <f t="shared" ref="K9:K18" si="7">IF(A9&lt;&gt;"Helicopter",0,B9)</f>
        <v>0</v>
      </c>
      <c r="L9" s="70">
        <f t="shared" ref="L9:L18" si="8">IF(I9=0,0,$D9*(I9/$B9))</f>
        <v>0</v>
      </c>
      <c r="M9" s="70">
        <f t="shared" ref="M9:M18" si="9">IF(J9=0,0,$D9*(J9/$B9))</f>
        <v>0</v>
      </c>
      <c r="N9" s="70">
        <f t="shared" ref="N9:N18" si="10">IF(K9=0,0,$D9*(K9/$B9))</f>
        <v>0</v>
      </c>
      <c r="O9" s="571"/>
    </row>
    <row r="10" spans="1:15" x14ac:dyDescent="0.2">
      <c r="A10" s="107"/>
      <c r="B10" s="108"/>
      <c r="C10" s="109"/>
      <c r="D10" s="70">
        <f t="shared" si="0"/>
        <v>0</v>
      </c>
      <c r="E10" s="70">
        <f t="shared" si="1"/>
        <v>0</v>
      </c>
      <c r="F10" s="70">
        <f>IF($G$5=0,0,D10*$G$5)</f>
        <v>0</v>
      </c>
      <c r="G10" s="70">
        <f t="shared" si="3"/>
        <v>0</v>
      </c>
      <c r="H10" s="70">
        <f t="shared" si="4"/>
        <v>0</v>
      </c>
      <c r="I10" s="83">
        <f t="shared" si="5"/>
        <v>0</v>
      </c>
      <c r="J10" s="83">
        <f t="shared" si="6"/>
        <v>0</v>
      </c>
      <c r="K10" s="83">
        <f t="shared" si="7"/>
        <v>0</v>
      </c>
      <c r="L10" s="70">
        <f t="shared" si="8"/>
        <v>0</v>
      </c>
      <c r="M10" s="70">
        <f t="shared" si="9"/>
        <v>0</v>
      </c>
      <c r="N10" s="70">
        <f t="shared" si="10"/>
        <v>0</v>
      </c>
      <c r="O10" s="571"/>
    </row>
    <row r="11" spans="1:15" x14ac:dyDescent="0.2">
      <c r="A11" s="107"/>
      <c r="B11" s="108"/>
      <c r="C11" s="109"/>
      <c r="D11" s="70">
        <f t="shared" si="0"/>
        <v>0</v>
      </c>
      <c r="E11" s="70">
        <f t="shared" si="1"/>
        <v>0</v>
      </c>
      <c r="F11" s="70">
        <f t="shared" si="2"/>
        <v>0</v>
      </c>
      <c r="G11" s="70">
        <f t="shared" si="3"/>
        <v>0</v>
      </c>
      <c r="H11" s="70">
        <f t="shared" si="4"/>
        <v>0</v>
      </c>
      <c r="I11" s="83">
        <f t="shared" si="5"/>
        <v>0</v>
      </c>
      <c r="J11" s="83">
        <f t="shared" si="6"/>
        <v>0</v>
      </c>
      <c r="K11" s="83">
        <f t="shared" si="7"/>
        <v>0</v>
      </c>
      <c r="L11" s="70">
        <f t="shared" si="8"/>
        <v>0</v>
      </c>
      <c r="M11" s="70">
        <f t="shared" si="9"/>
        <v>0</v>
      </c>
      <c r="N11" s="70">
        <f t="shared" si="10"/>
        <v>0</v>
      </c>
      <c r="O11" s="571"/>
    </row>
    <row r="12" spans="1:15" x14ac:dyDescent="0.2">
      <c r="A12" s="107"/>
      <c r="B12" s="108"/>
      <c r="C12" s="109"/>
      <c r="D12" s="70">
        <f t="shared" si="0"/>
        <v>0</v>
      </c>
      <c r="E12" s="70">
        <f t="shared" si="1"/>
        <v>0</v>
      </c>
      <c r="F12" s="70">
        <f t="shared" si="2"/>
        <v>0</v>
      </c>
      <c r="G12" s="70">
        <f t="shared" si="3"/>
        <v>0</v>
      </c>
      <c r="H12" s="70">
        <f t="shared" si="4"/>
        <v>0</v>
      </c>
      <c r="I12" s="83">
        <f t="shared" si="5"/>
        <v>0</v>
      </c>
      <c r="J12" s="83">
        <f t="shared" si="6"/>
        <v>0</v>
      </c>
      <c r="K12" s="83">
        <f t="shared" si="7"/>
        <v>0</v>
      </c>
      <c r="L12" s="70">
        <f t="shared" si="8"/>
        <v>0</v>
      </c>
      <c r="M12" s="70">
        <f t="shared" si="9"/>
        <v>0</v>
      </c>
      <c r="N12" s="70">
        <f t="shared" si="10"/>
        <v>0</v>
      </c>
      <c r="O12" s="571"/>
    </row>
    <row r="13" spans="1:15" x14ac:dyDescent="0.2">
      <c r="A13" s="107"/>
      <c r="B13" s="108"/>
      <c r="C13" s="109"/>
      <c r="D13" s="70">
        <f t="shared" si="0"/>
        <v>0</v>
      </c>
      <c r="E13" s="70">
        <f t="shared" si="1"/>
        <v>0</v>
      </c>
      <c r="F13" s="70">
        <f t="shared" si="2"/>
        <v>0</v>
      </c>
      <c r="G13" s="70">
        <f t="shared" si="3"/>
        <v>0</v>
      </c>
      <c r="H13" s="70">
        <f t="shared" si="4"/>
        <v>0</v>
      </c>
      <c r="I13" s="83">
        <f t="shared" si="5"/>
        <v>0</v>
      </c>
      <c r="J13" s="83">
        <f t="shared" si="6"/>
        <v>0</v>
      </c>
      <c r="K13" s="83">
        <f t="shared" si="7"/>
        <v>0</v>
      </c>
      <c r="L13" s="70">
        <f t="shared" si="8"/>
        <v>0</v>
      </c>
      <c r="M13" s="70">
        <f t="shared" si="9"/>
        <v>0</v>
      </c>
      <c r="N13" s="70">
        <f t="shared" si="10"/>
        <v>0</v>
      </c>
      <c r="O13" s="571"/>
    </row>
    <row r="14" spans="1:15" x14ac:dyDescent="0.2">
      <c r="A14" s="107"/>
      <c r="B14" s="108"/>
      <c r="C14" s="109"/>
      <c r="D14" s="70">
        <f t="shared" si="0"/>
        <v>0</v>
      </c>
      <c r="E14" s="70">
        <f t="shared" si="1"/>
        <v>0</v>
      </c>
      <c r="F14" s="70">
        <f t="shared" si="2"/>
        <v>0</v>
      </c>
      <c r="G14" s="70">
        <f t="shared" si="3"/>
        <v>0</v>
      </c>
      <c r="H14" s="70">
        <f t="shared" si="4"/>
        <v>0</v>
      </c>
      <c r="I14" s="83">
        <f t="shared" si="5"/>
        <v>0</v>
      </c>
      <c r="J14" s="83">
        <f t="shared" si="6"/>
        <v>0</v>
      </c>
      <c r="K14" s="83">
        <f t="shared" si="7"/>
        <v>0</v>
      </c>
      <c r="L14" s="70">
        <f t="shared" si="8"/>
        <v>0</v>
      </c>
      <c r="M14" s="70">
        <f t="shared" si="9"/>
        <v>0</v>
      </c>
      <c r="N14" s="70">
        <f t="shared" si="10"/>
        <v>0</v>
      </c>
      <c r="O14" s="571"/>
    </row>
    <row r="15" spans="1:15" x14ac:dyDescent="0.2">
      <c r="A15" s="107"/>
      <c r="B15" s="108"/>
      <c r="C15" s="109"/>
      <c r="D15" s="70">
        <f t="shared" si="0"/>
        <v>0</v>
      </c>
      <c r="E15" s="70">
        <f t="shared" si="1"/>
        <v>0</v>
      </c>
      <c r="F15" s="70">
        <f t="shared" si="2"/>
        <v>0</v>
      </c>
      <c r="G15" s="70">
        <f t="shared" si="3"/>
        <v>0</v>
      </c>
      <c r="H15" s="70">
        <f t="shared" si="4"/>
        <v>0</v>
      </c>
      <c r="I15" s="83">
        <f t="shared" si="5"/>
        <v>0</v>
      </c>
      <c r="J15" s="83">
        <f t="shared" si="6"/>
        <v>0</v>
      </c>
      <c r="K15" s="83">
        <f t="shared" si="7"/>
        <v>0</v>
      </c>
      <c r="L15" s="70">
        <f t="shared" si="8"/>
        <v>0</v>
      </c>
      <c r="M15" s="70">
        <f t="shared" si="9"/>
        <v>0</v>
      </c>
      <c r="N15" s="70">
        <f t="shared" si="10"/>
        <v>0</v>
      </c>
      <c r="O15" s="571"/>
    </row>
    <row r="16" spans="1:15" x14ac:dyDescent="0.2">
      <c r="A16" s="107"/>
      <c r="B16" s="108"/>
      <c r="C16" s="109"/>
      <c r="D16" s="70">
        <f t="shared" si="0"/>
        <v>0</v>
      </c>
      <c r="E16" s="70">
        <f t="shared" si="1"/>
        <v>0</v>
      </c>
      <c r="F16" s="70">
        <f t="shared" si="2"/>
        <v>0</v>
      </c>
      <c r="G16" s="70">
        <f t="shared" si="3"/>
        <v>0</v>
      </c>
      <c r="H16" s="70">
        <f t="shared" si="4"/>
        <v>0</v>
      </c>
      <c r="I16" s="83">
        <f t="shared" si="5"/>
        <v>0</v>
      </c>
      <c r="J16" s="83">
        <f t="shared" si="6"/>
        <v>0</v>
      </c>
      <c r="K16" s="83">
        <f t="shared" si="7"/>
        <v>0</v>
      </c>
      <c r="L16" s="70">
        <f t="shared" si="8"/>
        <v>0</v>
      </c>
      <c r="M16" s="70">
        <f t="shared" si="9"/>
        <v>0</v>
      </c>
      <c r="N16" s="70">
        <f t="shared" si="10"/>
        <v>0</v>
      </c>
      <c r="O16" s="571"/>
    </row>
    <row r="17" spans="1:15" x14ac:dyDescent="0.2">
      <c r="A17" s="107"/>
      <c r="B17" s="108"/>
      <c r="C17" s="109"/>
      <c r="D17" s="70">
        <f t="shared" si="0"/>
        <v>0</v>
      </c>
      <c r="E17" s="70">
        <f t="shared" si="1"/>
        <v>0</v>
      </c>
      <c r="F17" s="70">
        <f t="shared" si="2"/>
        <v>0</v>
      </c>
      <c r="G17" s="70">
        <f t="shared" si="3"/>
        <v>0</v>
      </c>
      <c r="H17" s="70">
        <f t="shared" si="4"/>
        <v>0</v>
      </c>
      <c r="I17" s="83">
        <f t="shared" si="5"/>
        <v>0</v>
      </c>
      <c r="J17" s="83">
        <f t="shared" si="6"/>
        <v>0</v>
      </c>
      <c r="K17" s="83">
        <f t="shared" si="7"/>
        <v>0</v>
      </c>
      <c r="L17" s="70">
        <f t="shared" si="8"/>
        <v>0</v>
      </c>
      <c r="M17" s="70">
        <f t="shared" si="9"/>
        <v>0</v>
      </c>
      <c r="N17" s="70">
        <f t="shared" si="10"/>
        <v>0</v>
      </c>
      <c r="O17" s="571"/>
    </row>
    <row r="18" spans="1:15" x14ac:dyDescent="0.2">
      <c r="A18" s="107"/>
      <c r="B18" s="108"/>
      <c r="C18" s="109"/>
      <c r="D18" s="70">
        <f t="shared" si="0"/>
        <v>0</v>
      </c>
      <c r="E18" s="70">
        <f t="shared" si="1"/>
        <v>0</v>
      </c>
      <c r="F18" s="70">
        <f t="shared" si="2"/>
        <v>0</v>
      </c>
      <c r="G18" s="70">
        <f t="shared" si="3"/>
        <v>0</v>
      </c>
      <c r="H18" s="70">
        <f t="shared" si="4"/>
        <v>0</v>
      </c>
      <c r="I18" s="83">
        <f t="shared" si="5"/>
        <v>0</v>
      </c>
      <c r="J18" s="83">
        <f t="shared" si="6"/>
        <v>0</v>
      </c>
      <c r="K18" s="83">
        <f t="shared" si="7"/>
        <v>0</v>
      </c>
      <c r="L18" s="70">
        <f t="shared" si="8"/>
        <v>0</v>
      </c>
      <c r="M18" s="70">
        <f t="shared" si="9"/>
        <v>0</v>
      </c>
      <c r="N18" s="70">
        <f t="shared" si="10"/>
        <v>0</v>
      </c>
      <c r="O18" s="571"/>
    </row>
    <row r="19" spans="1:15" x14ac:dyDescent="0.2">
      <c r="A19" s="507" t="s">
        <v>112</v>
      </c>
      <c r="B19" s="72">
        <f>SUM(B9:B18)</f>
        <v>0</v>
      </c>
      <c r="C19" s="84">
        <f>IF(D19=0,0,D19/B19)</f>
        <v>0</v>
      </c>
      <c r="D19" s="74">
        <f>SUM(D9:D18)</f>
        <v>0</v>
      </c>
      <c r="E19" s="75">
        <f>SUM(E9:E18)</f>
        <v>0</v>
      </c>
      <c r="F19" s="74">
        <f>SUM(F9:F18)</f>
        <v>0</v>
      </c>
      <c r="G19" s="74">
        <f>SUM(G9:G18)</f>
        <v>0</v>
      </c>
      <c r="H19" s="74">
        <f>SUM(H9:H18)</f>
        <v>0</v>
      </c>
      <c r="I19" s="76">
        <f t="shared" ref="I19:N19" si="11">SUM(I9:I18)</f>
        <v>0</v>
      </c>
      <c r="J19" s="76">
        <f t="shared" si="11"/>
        <v>0</v>
      </c>
      <c r="K19" s="76">
        <f t="shared" si="11"/>
        <v>0</v>
      </c>
      <c r="L19" s="75">
        <f t="shared" si="11"/>
        <v>0</v>
      </c>
      <c r="M19" s="75">
        <f t="shared" si="11"/>
        <v>0</v>
      </c>
      <c r="N19" s="75">
        <f t="shared" si="11"/>
        <v>0</v>
      </c>
      <c r="O19" s="571"/>
    </row>
    <row r="20" spans="1:15" s="5" customFormat="1" ht="22.5" customHeight="1" x14ac:dyDescent="0.15">
      <c r="A20" s="506"/>
      <c r="B20" s="85" t="s">
        <v>464</v>
      </c>
      <c r="C20" s="78" t="s">
        <v>355</v>
      </c>
      <c r="D20" s="79" t="s">
        <v>461</v>
      </c>
      <c r="E20" s="111" t="s">
        <v>122</v>
      </c>
      <c r="F20" s="111" t="s">
        <v>121</v>
      </c>
      <c r="G20" s="77" t="s">
        <v>123</v>
      </c>
      <c r="H20" s="77" t="s">
        <v>124</v>
      </c>
      <c r="I20" s="78" t="s">
        <v>449</v>
      </c>
      <c r="J20" s="78" t="s">
        <v>113</v>
      </c>
      <c r="K20" s="80" t="s">
        <v>114</v>
      </c>
      <c r="L20" s="112">
        <f>IF(L19=0,0,L19/$D$19)</f>
        <v>0</v>
      </c>
      <c r="M20" s="112">
        <f>IF(M19=0,0,M19/$D$19)</f>
        <v>0</v>
      </c>
      <c r="N20" s="112">
        <f>IF(N19=0,0,N19/$D$19)</f>
        <v>0</v>
      </c>
      <c r="O20" s="571"/>
    </row>
    <row r="21" spans="1:15" ht="21" x14ac:dyDescent="0.2">
      <c r="A21" s="81"/>
      <c r="B21" s="81"/>
      <c r="C21" s="81"/>
      <c r="D21" s="86"/>
      <c r="E21" s="81"/>
      <c r="F21" s="81"/>
      <c r="G21" s="87"/>
      <c r="H21" s="87"/>
      <c r="I21" s="81"/>
      <c r="J21" s="81"/>
      <c r="K21" s="88"/>
      <c r="L21" s="536" t="s">
        <v>118</v>
      </c>
      <c r="M21" s="536" t="s">
        <v>119</v>
      </c>
      <c r="N21" s="536" t="s">
        <v>126</v>
      </c>
      <c r="O21" s="571"/>
    </row>
    <row r="22" spans="1:15" x14ac:dyDescent="0.2">
      <c r="D22"/>
      <c r="G22" s="44" t="s">
        <v>506</v>
      </c>
      <c r="H22" s="45">
        <f>IF(D19=0,0,(SUM(E19:H19)/D19))</f>
        <v>0</v>
      </c>
      <c r="I22"/>
      <c r="J22" s="44" t="s">
        <v>249</v>
      </c>
      <c r="K22" s="60">
        <f>IF(B19=0,0,SUM(I19:K19)/B19)</f>
        <v>0</v>
      </c>
      <c r="M22" s="46" t="s">
        <v>250</v>
      </c>
      <c r="N22" s="47">
        <f>IF(D19=0,0,SUM(L19:N19)/D19)</f>
        <v>0</v>
      </c>
      <c r="O22" s="572"/>
    </row>
    <row r="23" spans="1:15" x14ac:dyDescent="0.2">
      <c r="D23"/>
      <c r="G23" s="11"/>
      <c r="H23" s="11"/>
      <c r="I23"/>
      <c r="J23"/>
      <c r="K23" s="11"/>
      <c r="L23" s="48">
        <f>IF(I19=0,0,L19/I19)</f>
        <v>0</v>
      </c>
      <c r="M23" s="48">
        <f>IF(J19=0,0,M19/J19)</f>
        <v>0</v>
      </c>
      <c r="N23" s="48">
        <f>IF(K19=0,0,N19/K19)</f>
        <v>0</v>
      </c>
      <c r="O23" s="572"/>
    </row>
    <row r="24" spans="1:15" x14ac:dyDescent="0.2">
      <c r="D24"/>
      <c r="G24" s="11"/>
      <c r="H24" s="11"/>
      <c r="I24"/>
      <c r="J24"/>
      <c r="K24" s="11"/>
      <c r="L24" s="58" t="s">
        <v>462</v>
      </c>
      <c r="M24" s="58" t="s">
        <v>462</v>
      </c>
      <c r="N24" s="58" t="s">
        <v>462</v>
      </c>
      <c r="O24"/>
    </row>
    <row r="25" spans="1:15" x14ac:dyDescent="0.2">
      <c r="D25"/>
      <c r="G25" s="11"/>
      <c r="H25" s="11"/>
      <c r="I25"/>
      <c r="J25"/>
      <c r="K25" s="11"/>
      <c r="L25" s="58" t="s">
        <v>376</v>
      </c>
      <c r="M25" s="58" t="s">
        <v>154</v>
      </c>
      <c r="N25" s="58" t="s">
        <v>155</v>
      </c>
      <c r="O25"/>
    </row>
    <row r="26" spans="1:15" x14ac:dyDescent="0.2">
      <c r="D26"/>
      <c r="G26" s="11"/>
      <c r="H26" s="11"/>
      <c r="I26"/>
      <c r="J26"/>
      <c r="L26" s="11"/>
      <c r="O26"/>
    </row>
    <row r="27" spans="1:15" x14ac:dyDescent="0.2">
      <c r="D27"/>
      <c r="G27" s="11"/>
      <c r="H27" s="11"/>
      <c r="I27"/>
      <c r="J27"/>
      <c r="L27" s="11"/>
      <c r="O27"/>
    </row>
    <row r="28" spans="1:15" x14ac:dyDescent="0.2">
      <c r="D28"/>
      <c r="G28" s="11"/>
      <c r="H28" s="11"/>
      <c r="I28"/>
      <c r="J28"/>
      <c r="L28" s="11"/>
      <c r="O28"/>
    </row>
    <row r="29" spans="1:15" x14ac:dyDescent="0.2">
      <c r="D29"/>
      <c r="G29" s="11"/>
      <c r="H29" s="11"/>
      <c r="I29"/>
      <c r="J29"/>
      <c r="L29" s="11"/>
      <c r="O29"/>
    </row>
    <row r="30" spans="1:15" x14ac:dyDescent="0.2">
      <c r="D30"/>
      <c r="H30" s="11"/>
      <c r="I30"/>
      <c r="J30"/>
      <c r="M30" s="11"/>
      <c r="O30"/>
    </row>
    <row r="31" spans="1:15" x14ac:dyDescent="0.2">
      <c r="D31"/>
      <c r="H31" s="11"/>
      <c r="I31"/>
      <c r="J31"/>
      <c r="M31" s="11"/>
      <c r="O31"/>
    </row>
    <row r="32" spans="1:15" x14ac:dyDescent="0.2">
      <c r="D32"/>
      <c r="H32" s="11"/>
      <c r="J32"/>
      <c r="N32" s="11"/>
      <c r="O32"/>
    </row>
    <row r="33" spans="4:15" x14ac:dyDescent="0.2">
      <c r="D33"/>
      <c r="H33" s="11"/>
      <c r="J33"/>
      <c r="N33" s="11"/>
      <c r="O33"/>
    </row>
    <row r="34" spans="4:15" x14ac:dyDescent="0.2">
      <c r="D34"/>
      <c r="H34" s="11"/>
      <c r="J34"/>
      <c r="N34" s="11"/>
      <c r="O34"/>
    </row>
    <row r="35" spans="4:15" x14ac:dyDescent="0.2">
      <c r="D35"/>
      <c r="H35" s="11"/>
      <c r="J35"/>
      <c r="N35" s="11"/>
      <c r="O35"/>
    </row>
  </sheetData>
  <sheetProtection algorithmName="SHA-512" hashValue="zrPogWYWUDPuUuBqAokFst53t4HA7wdsxN+/5IjuXxllXYQRJAVvm3JLEWi8pkynRVWaOJx5kbhkFFRZb1FExg==" saltValue="aKyiWkgOhHmP/6mnnQTwng==" spinCount="100000" sheet="1" objects="1" scenarios="1"/>
  <pageMargins left="0.45" right="0.45" top="0.25" bottom="0.25" header="0.3" footer="0.3"/>
  <pageSetup paperSize="3" fitToHeight="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SED from list" xr:uid="{00000000-0002-0000-0100-000000000000}">
          <x14:formula1>
            <xm:f>'Project SV mfg'!$A$42:$A$43</xm:f>
          </x14:formula1>
          <xm:sqref>C5</xm:sqref>
        </x14:dataValidation>
        <x14:dataValidation type="list" allowBlank="1" showInputMessage="1" showErrorMessage="1" error="Please select from list." xr:uid="{00000000-0002-0000-0100-000001000000}">
          <x14:formula1>
            <xm:f>'drop list'!$A$2:$A$4</xm:f>
          </x14:formula1>
          <xm:sqref>A9:A18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CC"/>
    <pageSetUpPr fitToPage="1"/>
  </sheetPr>
  <dimension ref="A1:S39"/>
  <sheetViews>
    <sheetView zoomScale="90" zoomScaleNormal="90" workbookViewId="0">
      <selection activeCell="C1" sqref="C1"/>
    </sheetView>
  </sheetViews>
  <sheetFormatPr defaultColWidth="9.140625" defaultRowHeight="12.75" x14ac:dyDescent="0.2"/>
  <cols>
    <col min="1" max="1" width="25.7109375" customWidth="1"/>
    <col min="2" max="2" width="10.85546875" customWidth="1"/>
    <col min="3" max="3" width="12.85546875" customWidth="1"/>
    <col min="4" max="4" width="13.7109375" style="33" customWidth="1"/>
    <col min="5" max="8" width="13.7109375" customWidth="1"/>
    <col min="9" max="18" width="11.7109375" customWidth="1"/>
  </cols>
  <sheetData>
    <row r="1" spans="1:18" ht="25.15" customHeight="1" x14ac:dyDescent="0.2">
      <c r="A1" s="1" t="s">
        <v>326</v>
      </c>
      <c r="B1" s="7" t="s">
        <v>329</v>
      </c>
      <c r="C1" s="100"/>
      <c r="D1"/>
      <c r="E1" s="7" t="s">
        <v>574</v>
      </c>
      <c r="F1" s="539"/>
      <c r="G1" s="540"/>
      <c r="H1" s="59" t="s">
        <v>573</v>
      </c>
      <c r="I1" s="101"/>
      <c r="J1" s="91" t="str">
        <f>IF(C5=9,"9 inch DIB",IF(C5=7,"7 inch DIB","other DIB"))</f>
        <v>7 inch DIB</v>
      </c>
      <c r="L1" s="61" t="s">
        <v>117</v>
      </c>
      <c r="M1" s="110"/>
    </row>
    <row r="2" spans="1:18" x14ac:dyDescent="0.2">
      <c r="A2" s="1"/>
      <c r="B2" s="35"/>
      <c r="F2" s="36"/>
      <c r="G2" s="37"/>
      <c r="I2" s="1"/>
      <c r="J2" s="1"/>
      <c r="K2" s="38"/>
      <c r="M2" s="13"/>
      <c r="N2" s="40"/>
    </row>
    <row r="3" spans="1:18" x14ac:dyDescent="0.2">
      <c r="B3" s="66" t="s">
        <v>141</v>
      </c>
      <c r="C3" s="113"/>
      <c r="D3" s="114"/>
      <c r="E3" s="104"/>
      <c r="F3" s="104"/>
      <c r="G3" s="104"/>
      <c r="H3" s="104"/>
      <c r="I3" s="105"/>
      <c r="J3" s="1"/>
      <c r="K3" s="5"/>
      <c r="L3" s="5"/>
      <c r="M3" s="13"/>
      <c r="N3" s="40"/>
    </row>
    <row r="4" spans="1:18" x14ac:dyDescent="0.2">
      <c r="A4" s="1"/>
      <c r="B4" s="35"/>
      <c r="E4" s="8"/>
      <c r="F4" s="57" t="s">
        <v>109</v>
      </c>
      <c r="G4" s="63" t="s">
        <v>138</v>
      </c>
      <c r="H4" s="63" t="s">
        <v>85</v>
      </c>
      <c r="I4" s="63" t="s">
        <v>86</v>
      </c>
      <c r="L4" s="5"/>
      <c r="M4" s="5"/>
      <c r="N4" s="13"/>
      <c r="O4" s="40"/>
    </row>
    <row r="5" spans="1:18" ht="49.5" customHeight="1" x14ac:dyDescent="0.2">
      <c r="B5" s="504" t="s">
        <v>283</v>
      </c>
      <c r="C5" s="106">
        <v>7</v>
      </c>
      <c r="D5"/>
      <c r="E5" s="65" t="s">
        <v>557</v>
      </c>
      <c r="F5" s="115"/>
      <c r="G5" s="115"/>
      <c r="H5" s="115"/>
      <c r="I5" s="116"/>
      <c r="J5" s="505">
        <f>SUM(F5:I5)</f>
        <v>0</v>
      </c>
      <c r="K5" s="90" t="s">
        <v>115</v>
      </c>
      <c r="M5" s="5"/>
      <c r="N5" s="39"/>
      <c r="O5" s="40"/>
    </row>
    <row r="6" spans="1:18" x14ac:dyDescent="0.2">
      <c r="A6" s="67" t="s">
        <v>505</v>
      </c>
      <c r="B6" s="41"/>
      <c r="C6" s="42"/>
      <c r="D6" s="43"/>
      <c r="E6" s="456"/>
      <c r="F6" s="569"/>
      <c r="G6" s="569"/>
      <c r="H6" s="569"/>
      <c r="I6" s="569"/>
      <c r="K6" s="49"/>
      <c r="N6" s="13"/>
      <c r="O6" s="40"/>
    </row>
    <row r="7" spans="1:18" x14ac:dyDescent="0.2">
      <c r="A7" s="8" t="s">
        <v>51</v>
      </c>
      <c r="D7" s="50"/>
    </row>
    <row r="8" spans="1:18" s="5" customFormat="1" ht="57.75" customHeight="1" x14ac:dyDescent="0.15">
      <c r="A8" s="68" t="s">
        <v>454</v>
      </c>
      <c r="B8" s="68" t="s">
        <v>318</v>
      </c>
      <c r="C8" s="89" t="s">
        <v>503</v>
      </c>
      <c r="D8" s="69" t="s">
        <v>455</v>
      </c>
      <c r="E8" s="69" t="s">
        <v>456</v>
      </c>
      <c r="F8" s="69" t="s">
        <v>457</v>
      </c>
      <c r="G8" s="69" t="s">
        <v>458</v>
      </c>
      <c r="H8" s="69" t="s">
        <v>459</v>
      </c>
      <c r="I8" s="69" t="s">
        <v>563</v>
      </c>
      <c r="J8" s="69" t="s">
        <v>564</v>
      </c>
      <c r="K8" s="69" t="s">
        <v>453</v>
      </c>
      <c r="L8" s="69" t="s">
        <v>565</v>
      </c>
      <c r="M8" s="69" t="s">
        <v>569</v>
      </c>
      <c r="N8" s="69" t="s">
        <v>560</v>
      </c>
      <c r="O8" s="69" t="s">
        <v>566</v>
      </c>
      <c r="P8" s="69" t="s">
        <v>567</v>
      </c>
      <c r="Q8" s="69" t="s">
        <v>568</v>
      </c>
      <c r="R8" s="69" t="s">
        <v>570</v>
      </c>
    </row>
    <row r="9" spans="1:18" x14ac:dyDescent="0.2">
      <c r="A9" s="107"/>
      <c r="B9" s="108"/>
      <c r="C9" s="109"/>
      <c r="D9" s="70">
        <f t="shared" ref="D9:D18" si="0">B9*C9</f>
        <v>0</v>
      </c>
      <c r="E9" s="70">
        <f t="shared" ref="E9:E18" si="1">IF($F$5=0,0,D9*$F$5)</f>
        <v>0</v>
      </c>
      <c r="F9" s="70">
        <f>IF($G$5=0,0,D9*$G$5)</f>
        <v>0</v>
      </c>
      <c r="G9" s="70">
        <f>IF($H$5=0,0,D9*$H$5)</f>
        <v>0</v>
      </c>
      <c r="H9" s="70">
        <f>IF($I$5=0,0,D9*$I$5)</f>
        <v>0</v>
      </c>
      <c r="I9" s="71">
        <f t="shared" ref="I9:I18" si="2">IF(A9&lt;&gt;"Short Cable CC",0,B9)</f>
        <v>0</v>
      </c>
      <c r="J9" s="71">
        <f t="shared" ref="J9:J18" si="3">IF(A9&lt;&gt;"Short Cable PC",0,B9)</f>
        <v>0</v>
      </c>
      <c r="K9" s="71">
        <f t="shared" ref="K9:K18" si="4">IF(A9&lt;&gt;"Groundbased CC",0,B9)</f>
        <v>0</v>
      </c>
      <c r="L9" s="71">
        <f t="shared" ref="L9:L18" si="5">IF(A9&lt;&gt;"Groundbased PC",0,B9)</f>
        <v>0</v>
      </c>
      <c r="M9" s="71">
        <f t="shared" ref="M9:M18" si="6">IF(A9&lt;&gt;"Helicopter",0,B9)</f>
        <v>0</v>
      </c>
      <c r="N9" s="70">
        <f t="shared" ref="N9:N18" si="7">IF(I9=0,0,$D9*(I9/$B9))</f>
        <v>0</v>
      </c>
      <c r="O9" s="70">
        <f t="shared" ref="O9:O18" si="8">IF(J9=0,0,$D9*(J9/$B9))</f>
        <v>0</v>
      </c>
      <c r="P9" s="70">
        <f t="shared" ref="P9:P18" si="9">IF(K9=0,0,$D9*(K9/$B9))</f>
        <v>0</v>
      </c>
      <c r="Q9" s="70">
        <f t="shared" ref="Q9:Q18" si="10">IF(L9=0,0,$D9*(L9/$B9))</f>
        <v>0</v>
      </c>
      <c r="R9" s="70">
        <f t="shared" ref="R9:R18" si="11">IF(M9=0,0,$D9*(M9/$B9))</f>
        <v>0</v>
      </c>
    </row>
    <row r="10" spans="1:18" x14ac:dyDescent="0.2">
      <c r="A10" s="107"/>
      <c r="B10" s="108"/>
      <c r="C10" s="109"/>
      <c r="D10" s="70">
        <f t="shared" si="0"/>
        <v>0</v>
      </c>
      <c r="E10" s="70">
        <f t="shared" si="1"/>
        <v>0</v>
      </c>
      <c r="F10" s="70">
        <f t="shared" ref="F10:F18" si="12">IF($G$5=0,0,D10*$G$5)</f>
        <v>0</v>
      </c>
      <c r="G10" s="70">
        <f t="shared" ref="G10:G18" si="13">IF($H$5=0,0,D10*$H$5)</f>
        <v>0</v>
      </c>
      <c r="H10" s="70">
        <f t="shared" ref="H10:H18" si="14">IF($I$5=0,0,D10*$I$5)</f>
        <v>0</v>
      </c>
      <c r="I10" s="71">
        <f t="shared" si="2"/>
        <v>0</v>
      </c>
      <c r="J10" s="71">
        <f t="shared" si="3"/>
        <v>0</v>
      </c>
      <c r="K10" s="71">
        <f t="shared" si="4"/>
        <v>0</v>
      </c>
      <c r="L10" s="71">
        <f t="shared" si="5"/>
        <v>0</v>
      </c>
      <c r="M10" s="71">
        <f t="shared" si="6"/>
        <v>0</v>
      </c>
      <c r="N10" s="70">
        <f t="shared" si="7"/>
        <v>0</v>
      </c>
      <c r="O10" s="70">
        <f t="shared" si="8"/>
        <v>0</v>
      </c>
      <c r="P10" s="70">
        <f t="shared" si="9"/>
        <v>0</v>
      </c>
      <c r="Q10" s="70">
        <f t="shared" si="10"/>
        <v>0</v>
      </c>
      <c r="R10" s="70">
        <f t="shared" si="11"/>
        <v>0</v>
      </c>
    </row>
    <row r="11" spans="1:18" x14ac:dyDescent="0.2">
      <c r="A11" s="107"/>
      <c r="B11" s="108"/>
      <c r="C11" s="109"/>
      <c r="D11" s="70">
        <f t="shared" si="0"/>
        <v>0</v>
      </c>
      <c r="E11" s="70">
        <f t="shared" si="1"/>
        <v>0</v>
      </c>
      <c r="F11" s="70">
        <f t="shared" si="12"/>
        <v>0</v>
      </c>
      <c r="G11" s="70">
        <f t="shared" si="13"/>
        <v>0</v>
      </c>
      <c r="H11" s="70">
        <f t="shared" si="14"/>
        <v>0</v>
      </c>
      <c r="I11" s="71">
        <f t="shared" si="2"/>
        <v>0</v>
      </c>
      <c r="J11" s="71">
        <f t="shared" si="3"/>
        <v>0</v>
      </c>
      <c r="K11" s="71">
        <f t="shared" si="4"/>
        <v>0</v>
      </c>
      <c r="L11" s="71">
        <f t="shared" si="5"/>
        <v>0</v>
      </c>
      <c r="M11" s="71">
        <f t="shared" si="6"/>
        <v>0</v>
      </c>
      <c r="N11" s="70">
        <f t="shared" si="7"/>
        <v>0</v>
      </c>
      <c r="O11" s="70">
        <f t="shared" si="8"/>
        <v>0</v>
      </c>
      <c r="P11" s="70">
        <f t="shared" si="9"/>
        <v>0</v>
      </c>
      <c r="Q11" s="70">
        <f t="shared" si="10"/>
        <v>0</v>
      </c>
      <c r="R11" s="70">
        <f t="shared" si="11"/>
        <v>0</v>
      </c>
    </row>
    <row r="12" spans="1:18" x14ac:dyDescent="0.2">
      <c r="A12" s="107"/>
      <c r="B12" s="108"/>
      <c r="C12" s="109"/>
      <c r="D12" s="70">
        <f t="shared" si="0"/>
        <v>0</v>
      </c>
      <c r="E12" s="70">
        <f t="shared" si="1"/>
        <v>0</v>
      </c>
      <c r="F12" s="70">
        <f t="shared" si="12"/>
        <v>0</v>
      </c>
      <c r="G12" s="70">
        <f t="shared" si="13"/>
        <v>0</v>
      </c>
      <c r="H12" s="70">
        <f t="shared" si="14"/>
        <v>0</v>
      </c>
      <c r="I12" s="71">
        <f t="shared" si="2"/>
        <v>0</v>
      </c>
      <c r="J12" s="71">
        <f t="shared" si="3"/>
        <v>0</v>
      </c>
      <c r="K12" s="71">
        <f t="shared" si="4"/>
        <v>0</v>
      </c>
      <c r="L12" s="71">
        <f t="shared" si="5"/>
        <v>0</v>
      </c>
      <c r="M12" s="71">
        <f t="shared" si="6"/>
        <v>0</v>
      </c>
      <c r="N12" s="70">
        <f t="shared" si="7"/>
        <v>0</v>
      </c>
      <c r="O12" s="70">
        <f t="shared" si="8"/>
        <v>0</v>
      </c>
      <c r="P12" s="70">
        <f t="shared" si="9"/>
        <v>0</v>
      </c>
      <c r="Q12" s="70">
        <f t="shared" si="10"/>
        <v>0</v>
      </c>
      <c r="R12" s="70">
        <f t="shared" si="11"/>
        <v>0</v>
      </c>
    </row>
    <row r="13" spans="1:18" x14ac:dyDescent="0.2">
      <c r="A13" s="107"/>
      <c r="B13" s="108"/>
      <c r="C13" s="109"/>
      <c r="D13" s="70">
        <f t="shared" si="0"/>
        <v>0</v>
      </c>
      <c r="E13" s="70">
        <f t="shared" si="1"/>
        <v>0</v>
      </c>
      <c r="F13" s="70">
        <f t="shared" si="12"/>
        <v>0</v>
      </c>
      <c r="G13" s="70">
        <f t="shared" si="13"/>
        <v>0</v>
      </c>
      <c r="H13" s="70">
        <f t="shared" si="14"/>
        <v>0</v>
      </c>
      <c r="I13" s="71">
        <f t="shared" si="2"/>
        <v>0</v>
      </c>
      <c r="J13" s="71">
        <f t="shared" si="3"/>
        <v>0</v>
      </c>
      <c r="K13" s="71">
        <f t="shared" si="4"/>
        <v>0</v>
      </c>
      <c r="L13" s="71">
        <f t="shared" si="5"/>
        <v>0</v>
      </c>
      <c r="M13" s="71">
        <f t="shared" si="6"/>
        <v>0</v>
      </c>
      <c r="N13" s="70">
        <f t="shared" si="7"/>
        <v>0</v>
      </c>
      <c r="O13" s="70">
        <f t="shared" si="8"/>
        <v>0</v>
      </c>
      <c r="P13" s="70">
        <f t="shared" si="9"/>
        <v>0</v>
      </c>
      <c r="Q13" s="70">
        <f t="shared" si="10"/>
        <v>0</v>
      </c>
      <c r="R13" s="70">
        <f t="shared" si="11"/>
        <v>0</v>
      </c>
    </row>
    <row r="14" spans="1:18" x14ac:dyDescent="0.2">
      <c r="A14" s="107"/>
      <c r="B14" s="108"/>
      <c r="C14" s="109"/>
      <c r="D14" s="70">
        <f t="shared" si="0"/>
        <v>0</v>
      </c>
      <c r="E14" s="70">
        <f t="shared" si="1"/>
        <v>0</v>
      </c>
      <c r="F14" s="70">
        <f t="shared" si="12"/>
        <v>0</v>
      </c>
      <c r="G14" s="70">
        <f t="shared" si="13"/>
        <v>0</v>
      </c>
      <c r="H14" s="70">
        <f t="shared" si="14"/>
        <v>0</v>
      </c>
      <c r="I14" s="71">
        <f t="shared" si="2"/>
        <v>0</v>
      </c>
      <c r="J14" s="71">
        <f t="shared" si="3"/>
        <v>0</v>
      </c>
      <c r="K14" s="71">
        <f t="shared" si="4"/>
        <v>0</v>
      </c>
      <c r="L14" s="71">
        <f t="shared" si="5"/>
        <v>0</v>
      </c>
      <c r="M14" s="71">
        <f t="shared" si="6"/>
        <v>0</v>
      </c>
      <c r="N14" s="70">
        <f t="shared" si="7"/>
        <v>0</v>
      </c>
      <c r="O14" s="70">
        <f t="shared" si="8"/>
        <v>0</v>
      </c>
      <c r="P14" s="70">
        <f t="shared" si="9"/>
        <v>0</v>
      </c>
      <c r="Q14" s="70">
        <f t="shared" si="10"/>
        <v>0</v>
      </c>
      <c r="R14" s="70">
        <f t="shared" si="11"/>
        <v>0</v>
      </c>
    </row>
    <row r="15" spans="1:18" x14ac:dyDescent="0.2">
      <c r="A15" s="107"/>
      <c r="B15" s="108"/>
      <c r="C15" s="109"/>
      <c r="D15" s="70">
        <f t="shared" si="0"/>
        <v>0</v>
      </c>
      <c r="E15" s="70">
        <f t="shared" si="1"/>
        <v>0</v>
      </c>
      <c r="F15" s="70">
        <f t="shared" si="12"/>
        <v>0</v>
      </c>
      <c r="G15" s="70">
        <f t="shared" si="13"/>
        <v>0</v>
      </c>
      <c r="H15" s="70">
        <f t="shared" si="14"/>
        <v>0</v>
      </c>
      <c r="I15" s="71">
        <f t="shared" si="2"/>
        <v>0</v>
      </c>
      <c r="J15" s="71">
        <f t="shared" si="3"/>
        <v>0</v>
      </c>
      <c r="K15" s="71">
        <f t="shared" si="4"/>
        <v>0</v>
      </c>
      <c r="L15" s="71">
        <f t="shared" si="5"/>
        <v>0</v>
      </c>
      <c r="M15" s="71">
        <f t="shared" si="6"/>
        <v>0</v>
      </c>
      <c r="N15" s="70">
        <f t="shared" si="7"/>
        <v>0</v>
      </c>
      <c r="O15" s="70">
        <f t="shared" si="8"/>
        <v>0</v>
      </c>
      <c r="P15" s="70">
        <f t="shared" si="9"/>
        <v>0</v>
      </c>
      <c r="Q15" s="70">
        <f t="shared" si="10"/>
        <v>0</v>
      </c>
      <c r="R15" s="70">
        <f t="shared" si="11"/>
        <v>0</v>
      </c>
    </row>
    <row r="16" spans="1:18" x14ac:dyDescent="0.2">
      <c r="A16" s="107"/>
      <c r="B16" s="108"/>
      <c r="C16" s="109"/>
      <c r="D16" s="70">
        <f t="shared" si="0"/>
        <v>0</v>
      </c>
      <c r="E16" s="70">
        <f t="shared" si="1"/>
        <v>0</v>
      </c>
      <c r="F16" s="70">
        <f t="shared" si="12"/>
        <v>0</v>
      </c>
      <c r="G16" s="70">
        <f t="shared" si="13"/>
        <v>0</v>
      </c>
      <c r="H16" s="70">
        <f t="shared" si="14"/>
        <v>0</v>
      </c>
      <c r="I16" s="71">
        <f t="shared" si="2"/>
        <v>0</v>
      </c>
      <c r="J16" s="71">
        <f t="shared" si="3"/>
        <v>0</v>
      </c>
      <c r="K16" s="71">
        <f t="shared" si="4"/>
        <v>0</v>
      </c>
      <c r="L16" s="71">
        <f t="shared" si="5"/>
        <v>0</v>
      </c>
      <c r="M16" s="71">
        <f t="shared" si="6"/>
        <v>0</v>
      </c>
      <c r="N16" s="70">
        <f t="shared" si="7"/>
        <v>0</v>
      </c>
      <c r="O16" s="70">
        <f t="shared" si="8"/>
        <v>0</v>
      </c>
      <c r="P16" s="70">
        <f t="shared" si="9"/>
        <v>0</v>
      </c>
      <c r="Q16" s="70">
        <f t="shared" si="10"/>
        <v>0</v>
      </c>
      <c r="R16" s="70">
        <f t="shared" si="11"/>
        <v>0</v>
      </c>
    </row>
    <row r="17" spans="1:19" x14ac:dyDescent="0.2">
      <c r="A17" s="107"/>
      <c r="B17" s="108"/>
      <c r="C17" s="109"/>
      <c r="D17" s="70">
        <f t="shared" si="0"/>
        <v>0</v>
      </c>
      <c r="E17" s="70">
        <f t="shared" si="1"/>
        <v>0</v>
      </c>
      <c r="F17" s="70">
        <f t="shared" si="12"/>
        <v>0</v>
      </c>
      <c r="G17" s="70">
        <f t="shared" si="13"/>
        <v>0</v>
      </c>
      <c r="H17" s="70">
        <f t="shared" si="14"/>
        <v>0</v>
      </c>
      <c r="I17" s="71">
        <f t="shared" si="2"/>
        <v>0</v>
      </c>
      <c r="J17" s="71">
        <f t="shared" si="3"/>
        <v>0</v>
      </c>
      <c r="K17" s="71">
        <f t="shared" si="4"/>
        <v>0</v>
      </c>
      <c r="L17" s="71">
        <f t="shared" si="5"/>
        <v>0</v>
      </c>
      <c r="M17" s="71">
        <f t="shared" si="6"/>
        <v>0</v>
      </c>
      <c r="N17" s="70">
        <f t="shared" si="7"/>
        <v>0</v>
      </c>
      <c r="O17" s="70">
        <f t="shared" si="8"/>
        <v>0</v>
      </c>
      <c r="P17" s="70">
        <f t="shared" si="9"/>
        <v>0</v>
      </c>
      <c r="Q17" s="70">
        <f t="shared" si="10"/>
        <v>0</v>
      </c>
      <c r="R17" s="70">
        <f t="shared" si="11"/>
        <v>0</v>
      </c>
    </row>
    <row r="18" spans="1:19" x14ac:dyDescent="0.2">
      <c r="A18" s="107"/>
      <c r="B18" s="108"/>
      <c r="C18" s="109"/>
      <c r="D18" s="70">
        <f t="shared" si="0"/>
        <v>0</v>
      </c>
      <c r="E18" s="70">
        <f t="shared" si="1"/>
        <v>0</v>
      </c>
      <c r="F18" s="70">
        <f t="shared" si="12"/>
        <v>0</v>
      </c>
      <c r="G18" s="70">
        <f t="shared" si="13"/>
        <v>0</v>
      </c>
      <c r="H18" s="70">
        <f t="shared" si="14"/>
        <v>0</v>
      </c>
      <c r="I18" s="71">
        <f t="shared" si="2"/>
        <v>0</v>
      </c>
      <c r="J18" s="71">
        <f t="shared" si="3"/>
        <v>0</v>
      </c>
      <c r="K18" s="71">
        <f t="shared" si="4"/>
        <v>0</v>
      </c>
      <c r="L18" s="71">
        <f t="shared" si="5"/>
        <v>0</v>
      </c>
      <c r="M18" s="71">
        <f t="shared" si="6"/>
        <v>0</v>
      </c>
      <c r="N18" s="70">
        <f t="shared" si="7"/>
        <v>0</v>
      </c>
      <c r="O18" s="70">
        <f t="shared" si="8"/>
        <v>0</v>
      </c>
      <c r="P18" s="70">
        <f t="shared" si="9"/>
        <v>0</v>
      </c>
      <c r="Q18" s="70">
        <f t="shared" si="10"/>
        <v>0</v>
      </c>
      <c r="R18" s="70">
        <f t="shared" si="11"/>
        <v>0</v>
      </c>
    </row>
    <row r="19" spans="1:19" x14ac:dyDescent="0.2">
      <c r="A19" s="507" t="s">
        <v>112</v>
      </c>
      <c r="B19" s="72">
        <f>SUM(B9:B18)</f>
        <v>0</v>
      </c>
      <c r="C19" s="73">
        <f>IF(D19=0,0,D19/B19)</f>
        <v>0</v>
      </c>
      <c r="D19" s="74">
        <f>SUM(D9:D18)</f>
        <v>0</v>
      </c>
      <c r="E19" s="75">
        <f>SUM(E9:E18)</f>
        <v>0</v>
      </c>
      <c r="F19" s="74">
        <f>SUM(F9:F18)</f>
        <v>0</v>
      </c>
      <c r="G19" s="74">
        <f>SUM(G9:G18)</f>
        <v>0</v>
      </c>
      <c r="H19" s="74">
        <f>SUM(H9:H18)</f>
        <v>0</v>
      </c>
      <c r="I19" s="76">
        <f t="shared" ref="I19:R19" si="15">SUM(I9:I18)</f>
        <v>0</v>
      </c>
      <c r="J19" s="76">
        <f t="shared" si="15"/>
        <v>0</v>
      </c>
      <c r="K19" s="76">
        <f t="shared" si="15"/>
        <v>0</v>
      </c>
      <c r="L19" s="76">
        <f t="shared" si="15"/>
        <v>0</v>
      </c>
      <c r="M19" s="76">
        <f t="shared" si="15"/>
        <v>0</v>
      </c>
      <c r="N19" s="75">
        <f t="shared" si="15"/>
        <v>0</v>
      </c>
      <c r="O19" s="75">
        <f t="shared" si="15"/>
        <v>0</v>
      </c>
      <c r="P19" s="75">
        <f t="shared" si="15"/>
        <v>0</v>
      </c>
      <c r="Q19" s="75">
        <f t="shared" si="15"/>
        <v>0</v>
      </c>
      <c r="R19" s="74">
        <f t="shared" si="15"/>
        <v>0</v>
      </c>
    </row>
    <row r="20" spans="1:19" s="5" customFormat="1" ht="22.5" customHeight="1" x14ac:dyDescent="0.15">
      <c r="A20" s="506"/>
      <c r="B20" s="78" t="s">
        <v>465</v>
      </c>
      <c r="C20" s="78" t="s">
        <v>355</v>
      </c>
      <c r="D20" s="79" t="s">
        <v>460</v>
      </c>
      <c r="E20" s="77" t="s">
        <v>122</v>
      </c>
      <c r="F20" s="77" t="s">
        <v>121</v>
      </c>
      <c r="G20" s="77" t="s">
        <v>123</v>
      </c>
      <c r="H20" s="77" t="s">
        <v>124</v>
      </c>
      <c r="I20" s="78" t="s">
        <v>449</v>
      </c>
      <c r="J20" s="78" t="s">
        <v>450</v>
      </c>
      <c r="K20" s="78" t="s">
        <v>136</v>
      </c>
      <c r="L20" s="78" t="s">
        <v>137</v>
      </c>
      <c r="M20" s="80" t="s">
        <v>114</v>
      </c>
      <c r="N20" s="112">
        <f>IF(N19=0,0,N19/$D$19)</f>
        <v>0</v>
      </c>
      <c r="O20" s="112">
        <f>IF(O19=0,0,O19/$D$19)</f>
        <v>0</v>
      </c>
      <c r="P20" s="112">
        <f>IF(P19=0,0,P19/$D$19)</f>
        <v>0</v>
      </c>
      <c r="Q20" s="112">
        <f>IF(Q19=0,0,Q19/$D$19)</f>
        <v>0</v>
      </c>
      <c r="R20" s="112">
        <f>IF(R19=0,0,R19/$D$19)</f>
        <v>0</v>
      </c>
    </row>
    <row r="21" spans="1:19" x14ac:dyDescent="0.2">
      <c r="A21" s="81"/>
      <c r="B21" s="81"/>
      <c r="C21" s="81"/>
      <c r="D21" s="81"/>
      <c r="E21" s="81"/>
      <c r="F21" s="81"/>
      <c r="G21" s="81"/>
      <c r="H21" s="81"/>
      <c r="I21" s="81"/>
      <c r="J21" s="81"/>
      <c r="K21" s="81"/>
      <c r="L21" s="81"/>
      <c r="M21" s="81"/>
      <c r="N21" s="536" t="s">
        <v>446</v>
      </c>
      <c r="O21" s="536" t="s">
        <v>447</v>
      </c>
      <c r="P21" s="536" t="s">
        <v>119</v>
      </c>
      <c r="Q21" s="536" t="s">
        <v>120</v>
      </c>
      <c r="R21" s="536" t="s">
        <v>126</v>
      </c>
      <c r="S21" s="499"/>
    </row>
    <row r="22" spans="1:19" x14ac:dyDescent="0.2">
      <c r="D22"/>
      <c r="G22" s="44" t="s">
        <v>506</v>
      </c>
      <c r="H22" s="45">
        <f>IF(D19=0,0,SUM(E19:H19)/D19)</f>
        <v>0</v>
      </c>
      <c r="L22" s="44" t="s">
        <v>249</v>
      </c>
      <c r="M22" s="60">
        <f>IF(B19=0,0,SUM(I19:M19)/B19)</f>
        <v>0</v>
      </c>
      <c r="Q22" s="46" t="s">
        <v>250</v>
      </c>
      <c r="R22" s="47">
        <f>IF(D19=0,0,SUM(N19:R19)/D19)</f>
        <v>0</v>
      </c>
      <c r="S22" s="15"/>
    </row>
    <row r="23" spans="1:19" x14ac:dyDescent="0.2">
      <c r="D23"/>
      <c r="N23" s="48">
        <f>IF(I19=0,0,N19/I19)</f>
        <v>0</v>
      </c>
      <c r="O23" s="48">
        <f>IF(J19=0,0,O19/J19)</f>
        <v>0</v>
      </c>
      <c r="P23" s="48">
        <f>IF(K19=0,0,P19/K19)</f>
        <v>0</v>
      </c>
      <c r="Q23" s="48">
        <f>IF(L19=0,0,Q19/L19)</f>
        <v>0</v>
      </c>
      <c r="R23" s="48">
        <f>IF(M19=0,0,R19/M19)</f>
        <v>0</v>
      </c>
      <c r="S23" s="15"/>
    </row>
    <row r="24" spans="1:19" x14ac:dyDescent="0.2">
      <c r="D24"/>
      <c r="N24" s="498" t="s">
        <v>448</v>
      </c>
      <c r="O24" s="498" t="s">
        <v>448</v>
      </c>
      <c r="P24" s="498" t="s">
        <v>448</v>
      </c>
      <c r="Q24" s="498" t="s">
        <v>448</v>
      </c>
      <c r="R24" s="498" t="s">
        <v>448</v>
      </c>
    </row>
    <row r="25" spans="1:19" x14ac:dyDescent="0.2">
      <c r="D25"/>
      <c r="E25" s="57"/>
      <c r="F25" s="63"/>
      <c r="G25" s="63"/>
      <c r="H25" s="63"/>
      <c r="N25" s="498" t="s">
        <v>376</v>
      </c>
      <c r="O25" s="498" t="s">
        <v>377</v>
      </c>
      <c r="P25" s="498" t="s">
        <v>451</v>
      </c>
      <c r="Q25" s="498" t="s">
        <v>452</v>
      </c>
      <c r="R25" s="498" t="s">
        <v>155</v>
      </c>
    </row>
    <row r="26" spans="1:19" x14ac:dyDescent="0.2">
      <c r="D26"/>
    </row>
    <row r="27" spans="1:19" x14ac:dyDescent="0.2">
      <c r="D27"/>
    </row>
    <row r="28" spans="1:19" x14ac:dyDescent="0.2">
      <c r="D28"/>
    </row>
    <row r="29" spans="1:19" x14ac:dyDescent="0.2">
      <c r="D29"/>
    </row>
    <row r="30" spans="1:19" x14ac:dyDescent="0.2">
      <c r="D30"/>
    </row>
    <row r="31" spans="1:19" x14ac:dyDescent="0.2">
      <c r="D31"/>
    </row>
    <row r="32" spans="1:19" x14ac:dyDescent="0.2">
      <c r="D32"/>
    </row>
    <row r="33" spans="4:4" x14ac:dyDescent="0.2">
      <c r="D33"/>
    </row>
    <row r="34" spans="4:4" x14ac:dyDescent="0.2">
      <c r="D34"/>
    </row>
    <row r="35" spans="4:4" x14ac:dyDescent="0.2">
      <c r="D35"/>
    </row>
    <row r="36" spans="4:4" x14ac:dyDescent="0.2">
      <c r="D36"/>
    </row>
    <row r="37" spans="4:4" x14ac:dyDescent="0.2">
      <c r="D37"/>
    </row>
    <row r="38" spans="4:4" x14ac:dyDescent="0.2">
      <c r="D38"/>
    </row>
    <row r="39" spans="4:4" x14ac:dyDescent="0.2">
      <c r="D39"/>
    </row>
  </sheetData>
  <sheetProtection algorithmName="SHA-512" hashValue="8wSk5MBKeTvyITfmOSeE3meBG38JqO8Gw3jmddOyf5zMJCz8NTvo1VwQCPTjcutgurvi050yVHlRIHYSvQq4sA==" saltValue="DTMT9TJkVAoOrNTgVfqrjA==" spinCount="100000" sheet="1" objects="1" scenarios="1"/>
  <pageMargins left="0.45" right="0.45" top="0.5" bottom="0.5" header="0.3" footer="0.3"/>
  <pageSetup paperSize="3" scale="85" fitToHeight="1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SED from list." xr:uid="{00000000-0002-0000-0200-000000000000}">
          <x14:formula1>
            <xm:f>'Project SV mfg'!$A$42:$A$43</xm:f>
          </x14:formula1>
          <xm:sqref>C5</xm:sqref>
        </x14:dataValidation>
        <x14:dataValidation type="list" allowBlank="1" showInputMessage="1" showErrorMessage="1" error="Please select from list." xr:uid="{00000000-0002-0000-0200-000001000000}">
          <x14:formula1>
            <xm:f>'drop list'!$A$7:$A$11</xm:f>
          </x14:formula1>
          <xm:sqref>A9:A18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CCFFCC"/>
    <pageSetUpPr fitToPage="1"/>
  </sheetPr>
  <dimension ref="A1:M79"/>
  <sheetViews>
    <sheetView topLeftCell="A16" zoomScale="90" zoomScaleNormal="90" workbookViewId="0">
      <selection activeCell="C56" sqref="C56"/>
    </sheetView>
  </sheetViews>
  <sheetFormatPr defaultColWidth="9.140625" defaultRowHeight="10.5" x14ac:dyDescent="0.15"/>
  <cols>
    <col min="1" max="1" width="10.85546875" style="5" customWidth="1"/>
    <col min="2" max="2" width="50.7109375" style="5" customWidth="1"/>
    <col min="3" max="3" width="21" style="5" customWidth="1"/>
    <col min="4" max="4" width="29.28515625" style="5" customWidth="1"/>
    <col min="5" max="5" width="19.5703125" style="5" customWidth="1"/>
    <col min="6" max="6" width="17.28515625" style="5" customWidth="1"/>
    <col min="7" max="7" width="16.85546875" style="5" customWidth="1"/>
    <col min="8" max="8" width="17.140625" style="5" customWidth="1"/>
    <col min="9" max="9" width="11.7109375" style="5" customWidth="1"/>
    <col min="10" max="10" width="24" style="5" customWidth="1"/>
    <col min="11" max="11" width="16.7109375" style="5" customWidth="1"/>
    <col min="12" max="12" width="10.85546875" style="5" customWidth="1"/>
    <col min="13" max="13" width="24.7109375" style="5" customWidth="1"/>
    <col min="14" max="14" width="26" style="5" customWidth="1"/>
    <col min="15" max="16384" width="9.140625" style="5"/>
  </cols>
  <sheetData>
    <row r="1" spans="1:12" ht="27.6" customHeight="1" thickBot="1" x14ac:dyDescent="0.25">
      <c r="A1" s="13" t="s">
        <v>58</v>
      </c>
      <c r="B1" s="481" t="s">
        <v>628</v>
      </c>
      <c r="C1" s="185" t="s">
        <v>305</v>
      </c>
      <c r="D1" s="117" t="s">
        <v>338</v>
      </c>
      <c r="E1" s="147" t="s">
        <v>272</v>
      </c>
      <c r="F1" s="118" t="s">
        <v>594</v>
      </c>
      <c r="G1" s="119"/>
      <c r="H1" s="119"/>
      <c r="I1" s="120"/>
      <c r="J1" s="121"/>
      <c r="L1" s="13"/>
    </row>
    <row r="2" spans="1:12" s="10" customFormat="1" ht="12" customHeight="1" x14ac:dyDescent="0.2">
      <c r="A2" s="135">
        <v>2</v>
      </c>
      <c r="B2" s="148" t="s">
        <v>116</v>
      </c>
      <c r="C2" s="149">
        <f>IF('OG units'!I1=0, 'YG units'!I1,'OG units'!I1)</f>
        <v>0</v>
      </c>
      <c r="D2" s="124" t="s">
        <v>125</v>
      </c>
      <c r="E2" s="124"/>
      <c r="F2" s="122" t="s">
        <v>51</v>
      </c>
      <c r="G2" s="123"/>
      <c r="H2" s="123"/>
      <c r="I2" s="124"/>
      <c r="J2" s="124"/>
    </row>
    <row r="3" spans="1:12" ht="12" customHeight="1" x14ac:dyDescent="0.2">
      <c r="A3" s="135">
        <v>3</v>
      </c>
      <c r="B3" s="150" t="s">
        <v>337</v>
      </c>
      <c r="C3" s="149">
        <f>IF('OG units'!F1=0, 'YG units'!F1,'OG units'!F1)</f>
        <v>0</v>
      </c>
      <c r="D3" s="124" t="s">
        <v>125</v>
      </c>
      <c r="E3" s="151"/>
      <c r="F3" s="125" t="s">
        <v>59</v>
      </c>
      <c r="G3" s="124"/>
      <c r="H3" s="124"/>
      <c r="I3" s="124"/>
      <c r="J3" s="124"/>
    </row>
    <row r="4" spans="1:12" ht="12" customHeight="1" x14ac:dyDescent="0.2">
      <c r="A4" s="135">
        <v>4</v>
      </c>
      <c r="B4" s="150" t="s">
        <v>111</v>
      </c>
      <c r="C4" s="186"/>
      <c r="D4" s="520" t="s">
        <v>544</v>
      </c>
      <c r="E4" s="541"/>
      <c r="F4" s="125" t="s">
        <v>142</v>
      </c>
      <c r="G4" s="124"/>
      <c r="H4" s="124"/>
      <c r="I4" s="124"/>
      <c r="J4" s="124"/>
    </row>
    <row r="5" spans="1:12" ht="12" customHeight="1" x14ac:dyDescent="0.2">
      <c r="A5" s="135">
        <v>5</v>
      </c>
      <c r="B5" s="150" t="s">
        <v>55</v>
      </c>
      <c r="C5" s="187"/>
      <c r="D5" s="124"/>
      <c r="E5" s="152" t="s">
        <v>334</v>
      </c>
      <c r="F5" s="125" t="s">
        <v>335</v>
      </c>
      <c r="G5" s="124"/>
      <c r="H5" s="124"/>
      <c r="I5" s="124"/>
      <c r="J5" s="124"/>
    </row>
    <row r="6" spans="1:12" ht="12" customHeight="1" x14ac:dyDescent="0.2">
      <c r="A6" s="135">
        <v>6</v>
      </c>
      <c r="B6" s="150" t="s">
        <v>56</v>
      </c>
      <c r="C6" s="186"/>
      <c r="D6" s="124"/>
      <c r="E6" s="124"/>
      <c r="F6" s="124"/>
      <c r="G6" s="124"/>
      <c r="H6" s="124"/>
      <c r="I6" s="124"/>
      <c r="J6" s="124"/>
    </row>
    <row r="7" spans="1:12" ht="12" customHeight="1" x14ac:dyDescent="0.2">
      <c r="A7" s="135">
        <v>7</v>
      </c>
      <c r="B7" s="148" t="s">
        <v>54</v>
      </c>
      <c r="C7" s="149">
        <f>IF('OG units'!C1=0, 'YG units'!C1,'OG units'!C1)</f>
        <v>0</v>
      </c>
      <c r="D7" s="124"/>
      <c r="E7" s="124"/>
      <c r="F7" s="124"/>
      <c r="G7" s="124"/>
      <c r="H7" s="124"/>
      <c r="I7" s="124"/>
      <c r="J7" s="124"/>
    </row>
    <row r="8" spans="1:12" ht="12" customHeight="1" x14ac:dyDescent="0.2">
      <c r="A8" s="135">
        <v>8</v>
      </c>
      <c r="B8" s="150" t="s">
        <v>42</v>
      </c>
      <c r="C8" s="188"/>
      <c r="D8" s="122" t="s">
        <v>514</v>
      </c>
      <c r="E8" s="126"/>
      <c r="F8" s="126"/>
      <c r="G8" s="126"/>
      <c r="H8" s="124"/>
      <c r="I8" s="124"/>
      <c r="J8" s="124"/>
    </row>
    <row r="9" spans="1:12" ht="12" customHeight="1" x14ac:dyDescent="0.2">
      <c r="A9" s="153">
        <v>9</v>
      </c>
      <c r="B9" s="131" t="s">
        <v>485</v>
      </c>
      <c r="C9" s="154">
        <f>IF(AND(C14&gt;0,C13=0),'YG units'!C5,IF(AND(C14=0,C13&gt;0),'OG units'!C5,IF('OG units'!C5&lt;&gt;'YG units'!C5,"YG needs to equal OG",'OG units'!C5)))</f>
        <v>7</v>
      </c>
      <c r="D9" s="124" t="s">
        <v>608</v>
      </c>
      <c r="E9" s="124"/>
      <c r="F9" s="124"/>
      <c r="G9" s="124"/>
      <c r="H9" s="124"/>
      <c r="I9" s="124"/>
      <c r="J9" s="124"/>
    </row>
    <row r="10" spans="1:12" ht="12" customHeight="1" x14ac:dyDescent="0.2">
      <c r="A10" s="153">
        <v>10</v>
      </c>
      <c r="B10" s="148" t="s">
        <v>60</v>
      </c>
      <c r="C10" s="154">
        <f>IF(C9=7,9,11)</f>
        <v>9</v>
      </c>
      <c r="D10" s="124" t="s">
        <v>273</v>
      </c>
      <c r="E10" s="124"/>
      <c r="F10" s="127"/>
      <c r="G10" s="127"/>
      <c r="H10" s="127"/>
      <c r="I10" s="127"/>
      <c r="J10" s="127"/>
    </row>
    <row r="11" spans="1:12" ht="12" customHeight="1" x14ac:dyDescent="0.2">
      <c r="A11" s="135">
        <v>11</v>
      </c>
      <c r="B11" s="150" t="s">
        <v>73</v>
      </c>
      <c r="C11" s="154" t="s">
        <v>31</v>
      </c>
      <c r="D11" s="124" t="s">
        <v>339</v>
      </c>
      <c r="E11" s="124"/>
      <c r="F11" s="124"/>
      <c r="G11" s="124"/>
      <c r="H11" s="124"/>
      <c r="I11" s="124"/>
      <c r="J11" s="124"/>
    </row>
    <row r="12" spans="1:12" ht="12" customHeight="1" x14ac:dyDescent="0.2">
      <c r="A12" s="135">
        <f t="shared" ref="A12:A22" si="0">+A11+1</f>
        <v>12</v>
      </c>
      <c r="B12" s="150" t="s">
        <v>49</v>
      </c>
      <c r="C12" s="155">
        <f>'OG units'!B19+'YG units'!B19</f>
        <v>0</v>
      </c>
      <c r="D12" s="124" t="s">
        <v>125</v>
      </c>
      <c r="E12" s="156">
        <f>'OG units'!B19</f>
        <v>0</v>
      </c>
      <c r="F12" s="124" t="s">
        <v>219</v>
      </c>
      <c r="G12" s="124"/>
      <c r="H12" s="124"/>
      <c r="I12" s="124"/>
      <c r="J12" s="124"/>
    </row>
    <row r="13" spans="1:12" ht="12" customHeight="1" x14ac:dyDescent="0.2">
      <c r="A13" s="135">
        <f t="shared" si="0"/>
        <v>13</v>
      </c>
      <c r="B13" s="148" t="s">
        <v>471</v>
      </c>
      <c r="C13" s="157">
        <f>'OG units'!D19</f>
        <v>0</v>
      </c>
      <c r="D13" s="124" t="s">
        <v>128</v>
      </c>
      <c r="E13" s="158">
        <f>'YG units'!B19</f>
        <v>0</v>
      </c>
      <c r="F13" s="128" t="s">
        <v>242</v>
      </c>
      <c r="G13" s="124"/>
      <c r="H13" s="124"/>
      <c r="I13" s="124"/>
      <c r="J13" s="124"/>
    </row>
    <row r="14" spans="1:12" ht="12" customHeight="1" x14ac:dyDescent="0.2">
      <c r="A14" s="135">
        <f t="shared" si="0"/>
        <v>14</v>
      </c>
      <c r="B14" s="159" t="s">
        <v>472</v>
      </c>
      <c r="C14" s="160">
        <f>'YG units'!D19</f>
        <v>0</v>
      </c>
      <c r="D14" s="159" t="s">
        <v>241</v>
      </c>
      <c r="E14" s="161"/>
      <c r="F14" s="129"/>
      <c r="G14" s="124"/>
      <c r="H14" s="124"/>
      <c r="I14" s="124"/>
      <c r="J14" s="124"/>
    </row>
    <row r="15" spans="1:12" ht="12" customHeight="1" x14ac:dyDescent="0.2">
      <c r="A15" s="135">
        <f t="shared" si="0"/>
        <v>15</v>
      </c>
      <c r="B15" s="159" t="s">
        <v>310</v>
      </c>
      <c r="C15" s="162">
        <f>IF('YG units'!R20=0,0,'YG units'!R20)</f>
        <v>0</v>
      </c>
      <c r="D15" s="159" t="s">
        <v>127</v>
      </c>
      <c r="E15" s="183">
        <f>C15+C16+C17</f>
        <v>0</v>
      </c>
      <c r="F15" s="181" t="s">
        <v>99</v>
      </c>
      <c r="G15" s="124"/>
      <c r="H15" s="124"/>
      <c r="I15" s="124"/>
      <c r="J15" s="124"/>
    </row>
    <row r="16" spans="1:12" ht="12" customHeight="1" x14ac:dyDescent="0.2">
      <c r="A16" s="135">
        <f t="shared" si="0"/>
        <v>16</v>
      </c>
      <c r="B16" s="159" t="s">
        <v>311</v>
      </c>
      <c r="C16" s="162">
        <f>IF('YG units'!P20+'YG units'!Q20=0,0,'YG units'!P20+'YG units'!Q20)</f>
        <v>0</v>
      </c>
      <c r="D16" s="159" t="s">
        <v>127</v>
      </c>
      <c r="E16" s="124"/>
      <c r="F16" s="124"/>
      <c r="G16" s="124"/>
      <c r="H16" s="124"/>
      <c r="I16" s="124"/>
      <c r="J16" s="124"/>
    </row>
    <row r="17" spans="1:13" ht="12" customHeight="1" x14ac:dyDescent="0.2">
      <c r="A17" s="135">
        <f t="shared" si="0"/>
        <v>17</v>
      </c>
      <c r="B17" s="159" t="s">
        <v>482</v>
      </c>
      <c r="C17" s="162">
        <f>IF('YG units'!N20+'YG units'!O20=0,0,'YG units'!N20+'YG units'!O20)</f>
        <v>0</v>
      </c>
      <c r="D17" s="159" t="s">
        <v>127</v>
      </c>
      <c r="E17" s="124"/>
      <c r="F17" s="124"/>
      <c r="G17" s="124"/>
      <c r="H17" s="124"/>
      <c r="I17" s="124"/>
      <c r="J17" s="124"/>
    </row>
    <row r="18" spans="1:13" ht="12" customHeight="1" x14ac:dyDescent="0.2">
      <c r="A18" s="135">
        <f t="shared" si="0"/>
        <v>18</v>
      </c>
      <c r="B18" s="159" t="s">
        <v>473</v>
      </c>
      <c r="C18" s="160">
        <f>C14*C15</f>
        <v>0</v>
      </c>
      <c r="D18" s="159" t="s">
        <v>59</v>
      </c>
      <c r="E18" s="124"/>
      <c r="F18" s="124"/>
      <c r="G18" s="124"/>
      <c r="H18" s="124"/>
      <c r="I18" s="130"/>
      <c r="J18" s="124"/>
    </row>
    <row r="19" spans="1:13" ht="12" customHeight="1" x14ac:dyDescent="0.2">
      <c r="A19" s="135">
        <f t="shared" si="0"/>
        <v>19</v>
      </c>
      <c r="B19" s="159" t="s">
        <v>474</v>
      </c>
      <c r="C19" s="160">
        <f>C14*C16</f>
        <v>0</v>
      </c>
      <c r="D19" s="159" t="s">
        <v>59</v>
      </c>
      <c r="E19" s="124"/>
      <c r="F19" s="124"/>
      <c r="G19" s="130"/>
      <c r="H19" s="130"/>
      <c r="I19" s="124"/>
      <c r="J19" s="130"/>
    </row>
    <row r="20" spans="1:13" ht="12" customHeight="1" x14ac:dyDescent="0.2">
      <c r="A20" s="135">
        <f t="shared" si="0"/>
        <v>20</v>
      </c>
      <c r="B20" s="159" t="s">
        <v>475</v>
      </c>
      <c r="C20" s="160">
        <f>C14*C17</f>
        <v>0</v>
      </c>
      <c r="D20" s="159" t="s">
        <v>59</v>
      </c>
      <c r="E20" s="124"/>
      <c r="F20" s="124"/>
      <c r="G20" s="130"/>
      <c r="H20" s="124"/>
      <c r="I20" s="130"/>
      <c r="J20" s="124"/>
    </row>
    <row r="21" spans="1:13" ht="12" customHeight="1" x14ac:dyDescent="0.2">
      <c r="A21" s="135">
        <f t="shared" si="0"/>
        <v>21</v>
      </c>
      <c r="B21" s="148" t="s">
        <v>481</v>
      </c>
      <c r="C21" s="163">
        <f>IF('OG units'!N20=0,0%,'OG units'!N20)</f>
        <v>0</v>
      </c>
      <c r="D21" s="124" t="s">
        <v>128</v>
      </c>
      <c r="E21" s="184">
        <f>C21+C22+C23</f>
        <v>0</v>
      </c>
      <c r="F21" s="182" t="s">
        <v>100</v>
      </c>
      <c r="G21" s="124"/>
      <c r="H21" s="124"/>
      <c r="I21" s="124"/>
      <c r="J21" s="124"/>
    </row>
    <row r="22" spans="1:13" ht="12" customHeight="1" x14ac:dyDescent="0.2">
      <c r="A22" s="135">
        <f t="shared" si="0"/>
        <v>22</v>
      </c>
      <c r="B22" s="148" t="s">
        <v>379</v>
      </c>
      <c r="C22" s="163">
        <f>IF('OG units'!M20=0,0%,'OG units'!M20)</f>
        <v>0</v>
      </c>
      <c r="D22" s="124" t="s">
        <v>128</v>
      </c>
      <c r="E22" s="124"/>
      <c r="F22" s="124"/>
      <c r="G22" s="124"/>
      <c r="H22" s="124"/>
      <c r="I22" s="124"/>
      <c r="J22" s="124"/>
    </row>
    <row r="23" spans="1:13" ht="12" customHeight="1" x14ac:dyDescent="0.2">
      <c r="A23" s="135">
        <f>A22+1</f>
        <v>23</v>
      </c>
      <c r="B23" s="148" t="s">
        <v>483</v>
      </c>
      <c r="C23" s="163">
        <f>IF('OG units'!L20=0,0%,'OG units'!L20)</f>
        <v>0</v>
      </c>
      <c r="D23" s="124" t="s">
        <v>128</v>
      </c>
      <c r="E23" s="124"/>
      <c r="F23" s="124"/>
      <c r="G23" s="124"/>
      <c r="H23" s="124"/>
      <c r="I23" s="124"/>
      <c r="J23" s="124"/>
    </row>
    <row r="24" spans="1:13" ht="12" customHeight="1" x14ac:dyDescent="0.2">
      <c r="A24" s="135">
        <f>A23+1</f>
        <v>24</v>
      </c>
      <c r="B24" s="148" t="s">
        <v>476</v>
      </c>
      <c r="C24" s="164">
        <f>C13*C21</f>
        <v>0</v>
      </c>
      <c r="D24" s="124" t="s">
        <v>59</v>
      </c>
      <c r="E24" s="443" t="str">
        <f>IF(ROUND('OG Heli Input'!D102,0)=ROUND('OG units'!N19,0),"ok ","Error in Heli Net?")</f>
        <v xml:space="preserve">ok </v>
      </c>
      <c r="F24" s="182" t="s">
        <v>243</v>
      </c>
      <c r="G24" s="124"/>
      <c r="H24" s="124"/>
      <c r="I24" s="124"/>
      <c r="J24" s="124"/>
      <c r="K24" s="9"/>
    </row>
    <row r="25" spans="1:13" ht="12" customHeight="1" x14ac:dyDescent="0.2">
      <c r="A25" s="135">
        <f t="shared" ref="A25:A48" si="1">A24+1</f>
        <v>25</v>
      </c>
      <c r="B25" s="148" t="s">
        <v>477</v>
      </c>
      <c r="C25" s="164">
        <f>C13*C22</f>
        <v>0</v>
      </c>
      <c r="D25" s="124" t="s">
        <v>59</v>
      </c>
      <c r="E25" s="124"/>
      <c r="F25" s="124"/>
      <c r="G25" s="124"/>
      <c r="H25" s="124"/>
      <c r="I25" s="124"/>
      <c r="J25" s="124"/>
    </row>
    <row r="26" spans="1:13" ht="12" customHeight="1" x14ac:dyDescent="0.2">
      <c r="A26" s="135">
        <f t="shared" si="1"/>
        <v>26</v>
      </c>
      <c r="B26" s="148" t="s">
        <v>484</v>
      </c>
      <c r="C26" s="164">
        <f>C13*C23</f>
        <v>0</v>
      </c>
      <c r="D26" s="124" t="s">
        <v>59</v>
      </c>
      <c r="E26" s="478">
        <f>C13*(1-C21)</f>
        <v>0</v>
      </c>
      <c r="F26" s="124" t="s">
        <v>407</v>
      </c>
      <c r="G26" s="124"/>
      <c r="H26" s="124"/>
      <c r="I26" s="124"/>
      <c r="J26" s="124"/>
    </row>
    <row r="27" spans="1:13" ht="12" customHeight="1" x14ac:dyDescent="0.2">
      <c r="A27" s="135">
        <f t="shared" si="1"/>
        <v>27</v>
      </c>
      <c r="B27" s="148" t="s">
        <v>550</v>
      </c>
      <c r="C27" s="189"/>
      <c r="D27" s="124" t="s">
        <v>445</v>
      </c>
      <c r="E27" s="479">
        <f>C14-(C14*C15)</f>
        <v>0</v>
      </c>
      <c r="F27" s="130" t="s">
        <v>378</v>
      </c>
      <c r="G27" s="131"/>
      <c r="H27" s="131"/>
      <c r="I27" s="124"/>
      <c r="J27" s="124"/>
    </row>
    <row r="28" spans="1:13" ht="12" customHeight="1" x14ac:dyDescent="0.2">
      <c r="A28" s="135">
        <f t="shared" si="1"/>
        <v>28</v>
      </c>
      <c r="B28" s="148" t="s">
        <v>478</v>
      </c>
      <c r="C28" s="477">
        <f>IF('OG units'!C19=0,0,'OG units'!D19/'OG units'!B19)</f>
        <v>0</v>
      </c>
      <c r="D28" s="124" t="s">
        <v>128</v>
      </c>
      <c r="E28" s="480">
        <f>E26+E27</f>
        <v>0</v>
      </c>
      <c r="F28" s="131" t="s">
        <v>408</v>
      </c>
      <c r="G28" s="124"/>
      <c r="H28" s="124"/>
      <c r="I28" s="124"/>
      <c r="J28" s="124"/>
    </row>
    <row r="29" spans="1:13" ht="12" customHeight="1" x14ac:dyDescent="0.2">
      <c r="A29" s="135">
        <f t="shared" si="1"/>
        <v>29</v>
      </c>
      <c r="B29" s="150" t="s">
        <v>479</v>
      </c>
      <c r="C29" s="165">
        <f>C13</f>
        <v>0</v>
      </c>
      <c r="D29" s="124" t="s">
        <v>59</v>
      </c>
      <c r="E29" s="166"/>
      <c r="F29" s="124"/>
      <c r="G29" s="124"/>
      <c r="H29" s="124"/>
      <c r="I29" s="124"/>
      <c r="J29" s="124"/>
    </row>
    <row r="30" spans="1:13" ht="12" customHeight="1" x14ac:dyDescent="0.2">
      <c r="A30" s="135">
        <f t="shared" si="1"/>
        <v>30</v>
      </c>
      <c r="B30" s="167" t="s">
        <v>480</v>
      </c>
      <c r="C30" s="160">
        <f>C14</f>
        <v>0</v>
      </c>
      <c r="D30" s="159" t="s">
        <v>59</v>
      </c>
      <c r="E30" s="166"/>
      <c r="F30" s="124"/>
      <c r="G30" s="124"/>
      <c r="H30" s="124"/>
      <c r="I30" s="124"/>
      <c r="J30" s="124"/>
    </row>
    <row r="31" spans="1:13" ht="12" customHeight="1" x14ac:dyDescent="0.2">
      <c r="A31" s="135">
        <f t="shared" si="1"/>
        <v>31</v>
      </c>
      <c r="B31" s="150" t="s">
        <v>61</v>
      </c>
      <c r="C31" s="190"/>
      <c r="D31" s="124" t="s">
        <v>244</v>
      </c>
      <c r="E31" s="124"/>
      <c r="F31" s="124"/>
      <c r="G31" s="124"/>
      <c r="H31" s="124"/>
      <c r="I31" s="124"/>
      <c r="J31" s="124"/>
    </row>
    <row r="32" spans="1:13" ht="12" customHeight="1" x14ac:dyDescent="0.2">
      <c r="A32" s="135">
        <f t="shared" si="1"/>
        <v>32</v>
      </c>
      <c r="B32" s="140" t="s">
        <v>380</v>
      </c>
      <c r="C32" s="154" t="s">
        <v>515</v>
      </c>
      <c r="D32" s="143" t="s">
        <v>353</v>
      </c>
      <c r="E32" s="124"/>
      <c r="F32" s="124"/>
      <c r="G32" s="124"/>
      <c r="H32" s="124"/>
      <c r="I32" s="124"/>
      <c r="J32" s="124"/>
      <c r="M32" s="14"/>
    </row>
    <row r="33" spans="1:13" ht="12" customHeight="1" x14ac:dyDescent="0.2">
      <c r="A33" s="135">
        <f t="shared" si="1"/>
        <v>33</v>
      </c>
      <c r="B33" s="150" t="s">
        <v>333</v>
      </c>
      <c r="C33" s="154" t="s">
        <v>515</v>
      </c>
      <c r="D33" s="124" t="s">
        <v>516</v>
      </c>
      <c r="E33" s="124"/>
      <c r="F33" s="124"/>
      <c r="G33" s="124"/>
      <c r="H33" s="124"/>
      <c r="I33" s="124"/>
      <c r="J33" s="124"/>
      <c r="M33" s="51"/>
    </row>
    <row r="34" spans="1:13" ht="12" customHeight="1" x14ac:dyDescent="0.2">
      <c r="A34" s="135">
        <f t="shared" si="1"/>
        <v>34</v>
      </c>
      <c r="B34" s="140" t="s">
        <v>517</v>
      </c>
      <c r="C34" s="509" t="s">
        <v>515</v>
      </c>
      <c r="D34" s="124" t="s">
        <v>518</v>
      </c>
      <c r="E34" s="124"/>
      <c r="F34" s="124"/>
      <c r="G34" s="124"/>
      <c r="H34" s="124"/>
      <c r="I34" s="124"/>
      <c r="J34" s="124"/>
      <c r="M34" s="51"/>
    </row>
    <row r="35" spans="1:13" ht="12" customHeight="1" x14ac:dyDescent="0.2">
      <c r="A35" s="135">
        <f t="shared" si="1"/>
        <v>35</v>
      </c>
      <c r="B35" s="159" t="s">
        <v>306</v>
      </c>
      <c r="C35" s="192"/>
      <c r="D35" s="159" t="s">
        <v>129</v>
      </c>
      <c r="E35" s="124"/>
      <c r="F35" s="124"/>
      <c r="G35" s="124"/>
      <c r="H35" s="124"/>
      <c r="I35" s="124"/>
      <c r="J35" s="124"/>
      <c r="M35" s="51"/>
    </row>
    <row r="36" spans="1:13" ht="12" customHeight="1" x14ac:dyDescent="0.2">
      <c r="A36" s="135">
        <f t="shared" si="1"/>
        <v>36</v>
      </c>
      <c r="B36" s="159" t="s">
        <v>307</v>
      </c>
      <c r="C36" s="192"/>
      <c r="D36" s="159" t="s">
        <v>129</v>
      </c>
      <c r="E36" s="124"/>
      <c r="F36" s="124"/>
      <c r="G36" s="124"/>
      <c r="H36" s="124"/>
      <c r="I36" s="124"/>
      <c r="J36" s="124"/>
      <c r="M36" s="51"/>
    </row>
    <row r="37" spans="1:13" ht="12" customHeight="1" x14ac:dyDescent="0.2">
      <c r="A37" s="135">
        <f t="shared" si="1"/>
        <v>37</v>
      </c>
      <c r="B37" s="159" t="s">
        <v>308</v>
      </c>
      <c r="C37" s="192"/>
      <c r="D37" s="159" t="s">
        <v>581</v>
      </c>
      <c r="E37" s="124"/>
      <c r="F37" s="124"/>
      <c r="G37" s="124"/>
      <c r="H37" s="124"/>
      <c r="I37" s="124"/>
      <c r="J37" s="124"/>
      <c r="M37" s="51"/>
    </row>
    <row r="38" spans="1:13" ht="12" customHeight="1" x14ac:dyDescent="0.2">
      <c r="A38" s="135">
        <f t="shared" si="1"/>
        <v>38</v>
      </c>
      <c r="B38" s="148" t="s">
        <v>511</v>
      </c>
      <c r="C38" s="191"/>
      <c r="D38" s="124" t="s">
        <v>274</v>
      </c>
      <c r="E38" s="127"/>
      <c r="F38" s="127"/>
      <c r="G38" s="127"/>
      <c r="H38" s="124"/>
      <c r="I38" s="124"/>
      <c r="J38" s="124"/>
    </row>
    <row r="39" spans="1:13" ht="12" customHeight="1" x14ac:dyDescent="0.2">
      <c r="A39" s="135">
        <f t="shared" si="1"/>
        <v>39</v>
      </c>
      <c r="B39" s="148" t="s">
        <v>148</v>
      </c>
      <c r="C39" s="193"/>
      <c r="D39" s="124" t="s">
        <v>245</v>
      </c>
      <c r="E39" s="124"/>
      <c r="F39" s="124"/>
      <c r="G39" s="124"/>
      <c r="H39" s="124"/>
      <c r="I39" s="124"/>
      <c r="J39" s="124"/>
    </row>
    <row r="40" spans="1:13" ht="12" customHeight="1" x14ac:dyDescent="0.2">
      <c r="A40" s="135">
        <f t="shared" si="1"/>
        <v>40</v>
      </c>
      <c r="B40" s="150" t="s">
        <v>213</v>
      </c>
      <c r="C40" s="194"/>
      <c r="D40" s="124" t="s">
        <v>130</v>
      </c>
      <c r="E40" s="124"/>
      <c r="F40" s="124"/>
      <c r="G40" s="124"/>
      <c r="H40" s="124"/>
      <c r="I40" s="124"/>
      <c r="J40" s="124"/>
      <c r="M40" s="51"/>
    </row>
    <row r="41" spans="1:13" ht="12" customHeight="1" x14ac:dyDescent="0.2">
      <c r="A41" s="135">
        <f t="shared" si="1"/>
        <v>41</v>
      </c>
      <c r="B41" s="150" t="s">
        <v>214</v>
      </c>
      <c r="C41" s="194"/>
      <c r="D41" s="124" t="s">
        <v>130</v>
      </c>
      <c r="E41" s="131"/>
      <c r="F41" s="124"/>
      <c r="G41" s="124"/>
      <c r="H41" s="124"/>
      <c r="I41" s="124"/>
      <c r="J41" s="124"/>
      <c r="K41" s="14"/>
      <c r="M41" s="52"/>
    </row>
    <row r="42" spans="1:13" ht="12" customHeight="1" x14ac:dyDescent="0.2">
      <c r="A42" s="135">
        <f t="shared" si="1"/>
        <v>42</v>
      </c>
      <c r="B42" s="150" t="s">
        <v>344</v>
      </c>
      <c r="C42" s="194"/>
      <c r="D42" s="124" t="s">
        <v>217</v>
      </c>
      <c r="E42" s="124"/>
      <c r="F42" s="124"/>
      <c r="G42" s="124"/>
      <c r="H42" s="124"/>
      <c r="I42" s="124"/>
      <c r="J42" s="124"/>
    </row>
    <row r="43" spans="1:13" ht="12" customHeight="1" x14ac:dyDescent="0.2">
      <c r="A43" s="135">
        <f t="shared" si="1"/>
        <v>43</v>
      </c>
      <c r="B43" s="150" t="s">
        <v>40</v>
      </c>
      <c r="C43" s="194"/>
      <c r="D43" s="124" t="s">
        <v>130</v>
      </c>
      <c r="E43" s="131"/>
      <c r="F43" s="124"/>
      <c r="G43" s="124"/>
      <c r="H43" s="124"/>
      <c r="I43" s="124"/>
      <c r="J43" s="124"/>
      <c r="K43" s="14"/>
    </row>
    <row r="44" spans="1:13" ht="12" customHeight="1" x14ac:dyDescent="0.2">
      <c r="A44" s="135">
        <f t="shared" si="1"/>
        <v>44</v>
      </c>
      <c r="B44" s="150" t="s">
        <v>512</v>
      </c>
      <c r="C44" s="194"/>
      <c r="D44" s="124" t="s">
        <v>130</v>
      </c>
      <c r="E44" s="131"/>
      <c r="F44" s="124"/>
      <c r="G44" s="124"/>
      <c r="H44" s="124"/>
      <c r="I44" s="124"/>
      <c r="J44" s="124"/>
      <c r="K44" s="14"/>
    </row>
    <row r="45" spans="1:13" ht="12" customHeight="1" x14ac:dyDescent="0.2">
      <c r="A45" s="135">
        <f t="shared" si="1"/>
        <v>45</v>
      </c>
      <c r="B45" s="148" t="s">
        <v>78</v>
      </c>
      <c r="C45" s="195"/>
      <c r="D45" s="124" t="s">
        <v>156</v>
      </c>
      <c r="E45" s="124"/>
      <c r="F45" s="124"/>
      <c r="G45" s="124"/>
      <c r="H45" s="124"/>
      <c r="I45" s="124"/>
      <c r="J45" s="124"/>
    </row>
    <row r="46" spans="1:13" ht="12" customHeight="1" x14ac:dyDescent="0.2">
      <c r="A46" s="135">
        <f t="shared" si="1"/>
        <v>46</v>
      </c>
      <c r="B46" s="124" t="s">
        <v>79</v>
      </c>
      <c r="C46" s="168">
        <f>IF(C45=0,0,C45*C28*(LoggingCosts!D2-23.75))</f>
        <v>0</v>
      </c>
      <c r="D46" s="124" t="s">
        <v>59</v>
      </c>
      <c r="E46" s="124"/>
      <c r="F46" s="131"/>
      <c r="G46" s="124"/>
      <c r="H46" s="124"/>
      <c r="I46" s="124"/>
      <c r="J46" s="124"/>
    </row>
    <row r="47" spans="1:13" ht="12" customHeight="1" x14ac:dyDescent="0.2">
      <c r="A47" s="135">
        <f t="shared" si="1"/>
        <v>47</v>
      </c>
      <c r="B47" s="150" t="s">
        <v>41</v>
      </c>
      <c r="C47" s="196"/>
      <c r="D47" s="124" t="s">
        <v>150</v>
      </c>
      <c r="E47" s="124"/>
      <c r="F47" s="124"/>
      <c r="G47" s="124"/>
      <c r="H47" s="124"/>
      <c r="I47" s="124"/>
      <c r="J47" s="124"/>
    </row>
    <row r="48" spans="1:13" ht="12" customHeight="1" x14ac:dyDescent="0.2">
      <c r="A48" s="135">
        <f t="shared" si="1"/>
        <v>48</v>
      </c>
      <c r="B48" s="150" t="s">
        <v>62</v>
      </c>
      <c r="C48" s="196"/>
      <c r="D48" s="510" t="s">
        <v>519</v>
      </c>
      <c r="E48" s="124"/>
      <c r="F48" s="124"/>
      <c r="G48" s="124"/>
      <c r="H48" s="124"/>
      <c r="I48" s="124"/>
      <c r="J48" s="124"/>
    </row>
    <row r="49" spans="1:12" ht="12" customHeight="1" x14ac:dyDescent="0.2">
      <c r="A49" s="124"/>
      <c r="B49" s="124"/>
      <c r="C49" s="124"/>
      <c r="D49" s="124"/>
      <c r="E49" s="124"/>
      <c r="F49" s="124"/>
      <c r="G49" s="124"/>
      <c r="I49" s="124"/>
      <c r="J49" s="124"/>
    </row>
    <row r="50" spans="1:12" ht="12.75" x14ac:dyDescent="0.2">
      <c r="A50" s="172">
        <v>50</v>
      </c>
      <c r="B50" s="124" t="s">
        <v>531</v>
      </c>
      <c r="C50" s="533"/>
      <c r="D50" s="143" t="s">
        <v>546</v>
      </c>
      <c r="E50" s="124"/>
      <c r="F50" s="124"/>
      <c r="G50" s="124"/>
      <c r="I50" s="124"/>
      <c r="J50" s="124"/>
    </row>
    <row r="51" spans="1:12" ht="12.75" x14ac:dyDescent="0.2">
      <c r="A51" s="124"/>
      <c r="B51" s="124"/>
      <c r="C51" s="124"/>
      <c r="D51" s="124"/>
      <c r="E51" s="124"/>
      <c r="F51" s="124"/>
      <c r="G51" s="124"/>
      <c r="H51" s="124"/>
      <c r="I51" s="124"/>
      <c r="J51" s="124"/>
    </row>
    <row r="52" spans="1:12" ht="12.75" x14ac:dyDescent="0.2">
      <c r="A52" s="135">
        <v>52</v>
      </c>
      <c r="B52" s="131" t="s">
        <v>513</v>
      </c>
      <c r="C52" s="124"/>
      <c r="D52" s="132" t="s">
        <v>413</v>
      </c>
      <c r="E52" s="461"/>
      <c r="F52" s="133"/>
      <c r="G52" s="134"/>
      <c r="I52" s="135"/>
      <c r="K52" s="16"/>
      <c r="L52" s="53"/>
    </row>
    <row r="53" spans="1:12" ht="13.5" thickBot="1" x14ac:dyDescent="0.25">
      <c r="A53" s="543" t="s">
        <v>65</v>
      </c>
      <c r="B53" s="173" t="s">
        <v>152</v>
      </c>
      <c r="C53" s="136" t="s">
        <v>77</v>
      </c>
      <c r="D53" s="136" t="s">
        <v>410</v>
      </c>
      <c r="E53" s="136" t="s">
        <v>411</v>
      </c>
      <c r="F53" s="136" t="s">
        <v>294</v>
      </c>
      <c r="G53" s="135" t="s">
        <v>533</v>
      </c>
      <c r="H53" s="135"/>
      <c r="I53" s="17"/>
      <c r="J53" s="17"/>
    </row>
    <row r="54" spans="1:12" ht="12.75" x14ac:dyDescent="0.2">
      <c r="A54" s="544" t="s">
        <v>22</v>
      </c>
      <c r="B54" s="176" t="s">
        <v>534</v>
      </c>
      <c r="C54" s="458">
        <f>IF('OG units'!E19=0,0,'OG units'!E19*(1-C50))</f>
        <v>0</v>
      </c>
      <c r="D54" s="139">
        <v>1</v>
      </c>
      <c r="E54" s="139">
        <f>0</f>
        <v>0</v>
      </c>
      <c r="F54" s="451" t="str">
        <f>IF(E54&lt;50%,"Alaska Mill","Foreign Market")</f>
        <v>Alaska Mill</v>
      </c>
      <c r="H54" s="138"/>
      <c r="I54" s="16"/>
      <c r="J54" s="16"/>
    </row>
    <row r="55" spans="1:12" ht="12.75" x14ac:dyDescent="0.2">
      <c r="A55" s="177" t="s">
        <v>22</v>
      </c>
      <c r="B55" s="514" t="s">
        <v>535</v>
      </c>
      <c r="C55" s="458">
        <f>IF('OG units'!E19=0,0,'OG units'!E19*C50)</f>
        <v>0</v>
      </c>
      <c r="D55" s="459">
        <v>1</v>
      </c>
      <c r="E55" s="459">
        <v>0</v>
      </c>
      <c r="F55" s="515" t="str">
        <f>IF(E55&lt;50%,"Alaska Mill","Foreign Market")</f>
        <v>Alaska Mill</v>
      </c>
      <c r="H55" s="138"/>
      <c r="I55" s="16"/>
      <c r="J55" s="16"/>
    </row>
    <row r="56" spans="1:12" ht="13.5" thickBot="1" x14ac:dyDescent="0.25">
      <c r="A56" s="473" t="s">
        <v>145</v>
      </c>
      <c r="B56" s="449" t="s">
        <v>536</v>
      </c>
      <c r="C56" s="458">
        <f>IF('YG units'!E19=0,0,'YG units'!E19)</f>
        <v>0</v>
      </c>
      <c r="D56" s="459">
        <v>1</v>
      </c>
      <c r="E56" s="459">
        <v>0</v>
      </c>
      <c r="F56" s="515" t="str">
        <f>IF(E56&lt;50%,"Alaska Mill","Foreign Market")</f>
        <v>Alaska Mill</v>
      </c>
      <c r="G56" s="545">
        <f>+(E54*C54+E55*C55+E56*C56)</f>
        <v>0</v>
      </c>
      <c r="H56" s="124"/>
      <c r="I56" s="16"/>
      <c r="J56" s="16"/>
    </row>
    <row r="57" spans="1:12" ht="13.5" thickBot="1" x14ac:dyDescent="0.25">
      <c r="A57" s="474" t="s">
        <v>404</v>
      </c>
      <c r="B57" s="449" t="s">
        <v>537</v>
      </c>
      <c r="C57" s="458">
        <f>IF('YG units'!F19+'OG units'!F19=0,0,'YG units'!F19+'OG units'!F19)</f>
        <v>0</v>
      </c>
      <c r="D57" s="459">
        <v>1</v>
      </c>
      <c r="E57" s="459">
        <v>0</v>
      </c>
      <c r="F57" s="515" t="str">
        <f>IF(E57&lt;50%,"Alaska Mill","Foreign Market")</f>
        <v>Alaska Mill</v>
      </c>
      <c r="G57" s="545">
        <f>E57*C57</f>
        <v>0</v>
      </c>
      <c r="H57" s="138"/>
      <c r="I57" s="16"/>
      <c r="J57" s="16"/>
    </row>
    <row r="58" spans="1:12" ht="13.5" thickBot="1" x14ac:dyDescent="0.25">
      <c r="A58" s="174" t="s">
        <v>21</v>
      </c>
      <c r="B58" s="175" t="s">
        <v>538</v>
      </c>
      <c r="C58" s="458">
        <f>IF('OG units'!G19+'YG units'!G19=0,0,'OG units'!G19+'YG units'!G19)</f>
        <v>0</v>
      </c>
      <c r="D58" s="139">
        <v>0</v>
      </c>
      <c r="E58" s="139">
        <v>1</v>
      </c>
      <c r="F58" s="451" t="str">
        <f>IF(E58&lt;50%,"Alaska Mill","Foreign Market")</f>
        <v>Foreign Market</v>
      </c>
      <c r="G58" s="545">
        <f>(E58*C58)</f>
        <v>0</v>
      </c>
      <c r="H58" s="138"/>
      <c r="I58" s="16"/>
      <c r="J58" s="16"/>
    </row>
    <row r="59" spans="1:12" ht="13.5" thickBot="1" x14ac:dyDescent="0.25">
      <c r="A59" s="178">
        <v>242</v>
      </c>
      <c r="B59" s="179" t="s">
        <v>539</v>
      </c>
      <c r="C59" s="458">
        <f>IF('OG units'!H19+'YG units'!H19=0,0,'OG units'!H19+'YG units'!H19)</f>
        <v>0</v>
      </c>
      <c r="D59" s="460">
        <v>1</v>
      </c>
      <c r="E59" s="460">
        <v>0</v>
      </c>
      <c r="F59" s="452" t="str">
        <f>IF(E59&lt;50%,"Alaska Mill","L48")</f>
        <v>Alaska Mill</v>
      </c>
      <c r="H59" s="138"/>
      <c r="I59" s="16"/>
      <c r="J59" s="16"/>
    </row>
    <row r="60" spans="1:12" ht="12.75" x14ac:dyDescent="0.2">
      <c r="A60" s="131"/>
      <c r="B60" s="124"/>
      <c r="C60" s="458">
        <f>SUM(C54:C59)</f>
        <v>0</v>
      </c>
      <c r="D60" s="124"/>
      <c r="E60" s="124"/>
      <c r="F60" s="131"/>
      <c r="G60" s="131"/>
      <c r="H60" s="124"/>
    </row>
    <row r="61" spans="1:12" ht="12.75" x14ac:dyDescent="0.2">
      <c r="A61" s="124"/>
      <c r="B61" s="124"/>
      <c r="C61" s="131" t="s">
        <v>81</v>
      </c>
      <c r="D61" s="140"/>
      <c r="E61" s="124"/>
      <c r="F61" s="124"/>
      <c r="G61" s="131"/>
      <c r="H61" s="140"/>
      <c r="I61" s="141"/>
    </row>
    <row r="62" spans="1:12" ht="12.75" x14ac:dyDescent="0.2">
      <c r="A62" s="124"/>
      <c r="B62" s="124"/>
      <c r="C62" s="180"/>
      <c r="D62" s="140"/>
      <c r="E62" s="124"/>
      <c r="F62" s="124"/>
      <c r="G62" s="131"/>
      <c r="H62" s="140"/>
      <c r="I62" s="141"/>
    </row>
    <row r="63" spans="1:12" ht="12.75" x14ac:dyDescent="0.2">
      <c r="A63" s="172"/>
      <c r="B63" s="124"/>
      <c r="C63" s="143"/>
      <c r="D63" s="143"/>
      <c r="E63" s="142"/>
      <c r="F63" s="143"/>
      <c r="G63" s="143"/>
      <c r="H63" s="143"/>
      <c r="I63" s="144"/>
    </row>
    <row r="64" spans="1:12" ht="12.75" x14ac:dyDescent="0.2">
      <c r="A64" s="143"/>
      <c r="B64" s="143"/>
      <c r="C64" s="143"/>
      <c r="D64" s="462" t="s">
        <v>490</v>
      </c>
      <c r="E64" s="439"/>
      <c r="F64" s="453"/>
      <c r="G64" s="463"/>
      <c r="H64" s="135"/>
      <c r="J64" s="16"/>
    </row>
    <row r="65" spans="1:11" ht="14.65" customHeight="1" thickBot="1" x14ac:dyDescent="0.25">
      <c r="A65" s="543" t="str">
        <f>A53</f>
        <v>species</v>
      </c>
      <c r="B65" s="173" t="s">
        <v>152</v>
      </c>
      <c r="C65" s="136" t="s">
        <v>77</v>
      </c>
      <c r="D65" s="136" t="s">
        <v>410</v>
      </c>
      <c r="E65" s="136" t="s">
        <v>411</v>
      </c>
      <c r="F65" s="136" t="s">
        <v>294</v>
      </c>
      <c r="G65" s="135" t="str">
        <f>G53</f>
        <v>Export nmbf</v>
      </c>
      <c r="H65" s="135"/>
      <c r="I65" s="17"/>
      <c r="J65" s="17"/>
      <c r="K65" s="53"/>
    </row>
    <row r="66" spans="1:11" ht="12.75" x14ac:dyDescent="0.2">
      <c r="A66" s="544" t="str">
        <f t="shared" ref="A66:A71" si="2">A54</f>
        <v>098</v>
      </c>
      <c r="B66" s="176" t="str">
        <f t="shared" ref="B66:C71" si="3">B54</f>
        <v>OG SS 18.0+ DIB sawlog</v>
      </c>
      <c r="C66" s="458">
        <f t="shared" si="3"/>
        <v>0</v>
      </c>
      <c r="D66" s="139">
        <v>1</v>
      </c>
      <c r="E66" s="139">
        <v>0</v>
      </c>
      <c r="F66" s="451" t="str">
        <f>IF(E66&lt;50%,"Alaska Mill","Foreign Market")</f>
        <v>Alaska Mill</v>
      </c>
      <c r="H66" s="138"/>
      <c r="I66" s="16"/>
      <c r="J66" s="16"/>
    </row>
    <row r="67" spans="1:11" ht="12.75" x14ac:dyDescent="0.2">
      <c r="A67" s="177" t="str">
        <f t="shared" si="2"/>
        <v>098</v>
      </c>
      <c r="B67" s="514" t="str">
        <f t="shared" si="3"/>
        <v>OG SS &lt;18.0 DIB sawlog</v>
      </c>
      <c r="C67" s="458">
        <f t="shared" si="3"/>
        <v>0</v>
      </c>
      <c r="D67" s="459">
        <v>0</v>
      </c>
      <c r="E67" s="459">
        <v>1</v>
      </c>
      <c r="F67" s="515" t="str">
        <f>IF(E67&lt;50%,"Alaska Mill","Foreign Market")</f>
        <v>Foreign Market</v>
      </c>
      <c r="H67" s="138"/>
      <c r="I67" s="16"/>
      <c r="J67" s="16"/>
    </row>
    <row r="68" spans="1:11" ht="13.5" thickBot="1" x14ac:dyDescent="0.25">
      <c r="A68" s="473" t="str">
        <f t="shared" si="2"/>
        <v>098Y</v>
      </c>
      <c r="B68" s="449" t="str">
        <f t="shared" si="3"/>
        <v>YG SS all DIB sawlog</v>
      </c>
      <c r="C68" s="458">
        <f t="shared" si="3"/>
        <v>0</v>
      </c>
      <c r="D68" s="459">
        <v>0</v>
      </c>
      <c r="E68" s="459">
        <v>1</v>
      </c>
      <c r="F68" s="515" t="str">
        <f>IF(E68&lt;50%,"Alaska Mill","Foreign Market")</f>
        <v>Foreign Market</v>
      </c>
      <c r="G68" s="545">
        <f>+(E66*C66+E67*C67+E68*C68)</f>
        <v>0</v>
      </c>
      <c r="H68" s="124"/>
      <c r="I68" s="16"/>
      <c r="J68" s="16"/>
    </row>
    <row r="69" spans="1:11" ht="13.5" thickBot="1" x14ac:dyDescent="0.25">
      <c r="A69" s="474" t="str">
        <f t="shared" si="2"/>
        <v>263 263Y</v>
      </c>
      <c r="B69" s="449" t="str">
        <f t="shared" si="3"/>
        <v>Hem all DIB sawlog</v>
      </c>
      <c r="C69" s="458">
        <f t="shared" si="3"/>
        <v>0</v>
      </c>
      <c r="D69" s="459">
        <v>0</v>
      </c>
      <c r="E69" s="459">
        <v>1</v>
      </c>
      <c r="F69" s="515" t="str">
        <f>IF(E69&lt;50%,"Alaska Mill","Foreign Market")</f>
        <v>Foreign Market</v>
      </c>
      <c r="G69" s="545">
        <f>E69*C69</f>
        <v>0</v>
      </c>
      <c r="H69" s="138"/>
      <c r="I69" s="16"/>
      <c r="J69" s="16"/>
    </row>
    <row r="70" spans="1:11" ht="13.5" thickBot="1" x14ac:dyDescent="0.25">
      <c r="A70" s="174" t="str">
        <f t="shared" si="2"/>
        <v>042</v>
      </c>
      <c r="B70" s="175" t="str">
        <f t="shared" si="3"/>
        <v>AYC all DIB sawlog</v>
      </c>
      <c r="C70" s="458">
        <f t="shared" si="3"/>
        <v>0</v>
      </c>
      <c r="D70" s="139">
        <v>0</v>
      </c>
      <c r="E70" s="139">
        <v>1</v>
      </c>
      <c r="F70" s="448" t="str">
        <f>IF(E70&lt;50%,"Alaska Mill","Foreign Market")</f>
        <v>Foreign Market</v>
      </c>
      <c r="G70" s="137">
        <f>(E70*C70)</f>
        <v>0</v>
      </c>
      <c r="H70" s="138"/>
      <c r="I70" s="16"/>
      <c r="J70" s="16"/>
    </row>
    <row r="71" spans="1:11" ht="13.5" thickBot="1" x14ac:dyDescent="0.25">
      <c r="A71" s="178">
        <f t="shared" si="2"/>
        <v>242</v>
      </c>
      <c r="B71" s="179" t="str">
        <f t="shared" si="3"/>
        <v>WRC all DIB sawlog</v>
      </c>
      <c r="C71" s="458">
        <f t="shared" si="3"/>
        <v>0</v>
      </c>
      <c r="D71" s="460">
        <v>1</v>
      </c>
      <c r="E71" s="460">
        <v>0</v>
      </c>
      <c r="F71" s="452" t="str">
        <f>IF(E71&lt;50%,"Alaska Mill","L48")</f>
        <v>Alaska Mill</v>
      </c>
      <c r="H71" s="138"/>
      <c r="I71" s="16"/>
      <c r="J71" s="16"/>
    </row>
    <row r="72" spans="1:11" ht="12.75" x14ac:dyDescent="0.2">
      <c r="A72" s="131"/>
      <c r="B72" s="124"/>
      <c r="C72" s="458">
        <f>SUM(C66:C71)</f>
        <v>0</v>
      </c>
      <c r="D72" s="124"/>
      <c r="E72" s="124"/>
      <c r="F72" s="131"/>
      <c r="G72" s="131"/>
      <c r="H72" s="146"/>
    </row>
    <row r="73" spans="1:11" ht="12.75" x14ac:dyDescent="0.2">
      <c r="C73" s="131" t="s">
        <v>81</v>
      </c>
      <c r="D73" s="145"/>
      <c r="E73" s="145"/>
      <c r="F73" s="145"/>
      <c r="G73" s="145"/>
      <c r="H73" s="146"/>
    </row>
    <row r="74" spans="1:11" ht="14.65" customHeight="1" x14ac:dyDescent="0.15">
      <c r="E74" s="145"/>
      <c r="F74" s="145"/>
      <c r="G74" s="145"/>
      <c r="H74" s="145"/>
      <c r="I74" s="146"/>
    </row>
    <row r="75" spans="1:11" ht="14.65" customHeight="1" x14ac:dyDescent="0.15">
      <c r="F75" s="54"/>
      <c r="G75" s="54"/>
      <c r="H75" s="54"/>
      <c r="I75" s="54"/>
      <c r="J75" s="54"/>
      <c r="K75" s="54"/>
    </row>
    <row r="76" spans="1:11" ht="14.65" customHeight="1" x14ac:dyDescent="0.15">
      <c r="F76" s="54"/>
      <c r="G76" s="54"/>
      <c r="H76" s="54"/>
      <c r="I76" s="54"/>
      <c r="J76" s="54"/>
      <c r="K76" s="54"/>
    </row>
    <row r="77" spans="1:11" x14ac:dyDescent="0.15">
      <c r="F77" s="54"/>
      <c r="G77" s="54"/>
      <c r="H77" s="54"/>
      <c r="I77" s="54"/>
      <c r="J77" s="54"/>
      <c r="K77" s="54"/>
    </row>
    <row r="78" spans="1:11" x14ac:dyDescent="0.15">
      <c r="F78" s="54"/>
      <c r="G78" s="54"/>
      <c r="H78" s="54"/>
      <c r="I78" s="54"/>
      <c r="J78" s="54"/>
      <c r="K78" s="54"/>
    </row>
    <row r="79" spans="1:11" x14ac:dyDescent="0.15">
      <c r="I79" s="54"/>
      <c r="J79" s="54"/>
      <c r="K79" s="54"/>
    </row>
  </sheetData>
  <sheetProtection algorithmName="SHA-512" hashValue="l1Zq9kD/X1c+QW3fW7tSsFtjRwCa0DoVN1jUtdgzVH+2oTIeNQsaQ+tyLcXnMT6/nwIt28rVuIOXX2DjEANVVg==" saltValue="U9Hq/WlVZKMNs7jfSUP+Fg==" spinCount="100000" sheet="1" objects="1" scenarios="1"/>
  <phoneticPr fontId="0" type="noConversion"/>
  <printOptions gridLines="1"/>
  <pageMargins left="0.25" right="0.25" top="0.25" bottom="0.25" header="0.25" footer="0.25"/>
  <pageSetup paperSize="3" scale="8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CCFFCC"/>
    <pageSetUpPr fitToPage="1"/>
  </sheetPr>
  <dimension ref="A1:U109"/>
  <sheetViews>
    <sheetView zoomScale="90" zoomScaleNormal="90" workbookViewId="0">
      <selection activeCell="A2" sqref="A2"/>
    </sheetView>
  </sheetViews>
  <sheetFormatPr defaultColWidth="9.140625" defaultRowHeight="12.75" x14ac:dyDescent="0.2"/>
  <cols>
    <col min="1" max="1" width="15.42578125" style="55" customWidth="1"/>
    <col min="2" max="2" width="15.140625" customWidth="1"/>
    <col min="3" max="3" width="11.7109375" customWidth="1"/>
    <col min="4" max="4" width="21.7109375" customWidth="1"/>
    <col min="5" max="5" width="15.140625" customWidth="1"/>
    <col min="6" max="6" width="14.28515625" customWidth="1"/>
    <col min="7" max="10" width="14" hidden="1" customWidth="1"/>
    <col min="11" max="11" width="9.140625" hidden="1" customWidth="1"/>
    <col min="12" max="12" width="9.140625" customWidth="1"/>
    <col min="13" max="13" width="10" customWidth="1"/>
    <col min="14" max="14" width="11" customWidth="1"/>
    <col min="15" max="15" width="9.140625" customWidth="1"/>
  </cols>
  <sheetData>
    <row r="1" spans="1:21" ht="66" customHeight="1" x14ac:dyDescent="0.2">
      <c r="A1" s="538" t="s">
        <v>486</v>
      </c>
      <c r="B1" s="197" t="s">
        <v>487</v>
      </c>
      <c r="C1" s="197" t="s">
        <v>381</v>
      </c>
      <c r="D1" s="198" t="s">
        <v>507</v>
      </c>
      <c r="E1" s="198" t="s">
        <v>285</v>
      </c>
      <c r="F1" s="199" t="s">
        <v>286</v>
      </c>
      <c r="G1" s="235" t="s">
        <v>32</v>
      </c>
      <c r="H1" s="221" t="s">
        <v>33</v>
      </c>
      <c r="I1" s="222" t="s">
        <v>34</v>
      </c>
      <c r="J1" s="223" t="s">
        <v>35</v>
      </c>
      <c r="K1" s="99"/>
      <c r="L1" s="99"/>
      <c r="M1" s="99"/>
      <c r="N1" s="99"/>
      <c r="O1" s="99"/>
      <c r="P1" s="99"/>
      <c r="Q1" s="99"/>
      <c r="R1" s="99"/>
      <c r="S1" s="99"/>
      <c r="T1" s="99"/>
      <c r="U1" s="99"/>
    </row>
    <row r="2" spans="1:21" x14ac:dyDescent="0.2">
      <c r="A2" s="495"/>
      <c r="B2" s="496"/>
      <c r="C2" s="497"/>
      <c r="D2" s="200"/>
      <c r="E2" s="201"/>
      <c r="F2" s="201"/>
      <c r="G2" s="224">
        <f t="shared" ref="G2:G33" si="0">IF(E2=0,0,IF(F2/E2&gt;0.38,SQRT(((E2*E2)+(F2*F2))/0.4),SQRT((E2*E2)+(F2*F2))))</f>
        <v>0</v>
      </c>
      <c r="H2" s="225">
        <f t="shared" ref="H2:H33" si="1" xml:space="preserve"> IF(B2&gt;65,66537/(-0.02152*G2+229.719)*(0.0085*B2+0.4552),66537/(-0.02152*G2+229.719))*D2</f>
        <v>0</v>
      </c>
      <c r="I2" s="226">
        <f t="shared" ref="I2:I33" si="2">IF(C2="no",H2,H2*1.1)</f>
        <v>0</v>
      </c>
      <c r="J2" s="227">
        <f t="shared" ref="J2:J10" si="3">F2/0.3788</f>
        <v>0</v>
      </c>
      <c r="K2" s="226" t="s">
        <v>75</v>
      </c>
      <c r="L2" s="99"/>
      <c r="M2" s="99"/>
      <c r="N2" s="99"/>
      <c r="O2" s="99"/>
      <c r="P2" s="99"/>
      <c r="Q2" s="99"/>
      <c r="R2" s="99"/>
      <c r="S2" s="99"/>
      <c r="T2" s="99"/>
      <c r="U2" s="99"/>
    </row>
    <row r="3" spans="1:21" x14ac:dyDescent="0.2">
      <c r="A3" s="495"/>
      <c r="B3" s="496"/>
      <c r="C3" s="497"/>
      <c r="D3" s="200"/>
      <c r="E3" s="201"/>
      <c r="F3" s="201"/>
      <c r="G3" s="224">
        <f t="shared" si="0"/>
        <v>0</v>
      </c>
      <c r="H3" s="225">
        <f t="shared" si="1"/>
        <v>0</v>
      </c>
      <c r="I3" s="226">
        <f t="shared" si="2"/>
        <v>0</v>
      </c>
      <c r="J3" s="227">
        <f t="shared" si="3"/>
        <v>0</v>
      </c>
      <c r="K3" s="226" t="s">
        <v>74</v>
      </c>
      <c r="L3" s="99"/>
      <c r="M3" s="99"/>
      <c r="N3" s="99"/>
      <c r="O3" s="99"/>
      <c r="P3" s="99"/>
      <c r="Q3" s="99"/>
      <c r="R3" s="99"/>
      <c r="S3" s="99"/>
      <c r="T3" s="99"/>
      <c r="U3" s="99"/>
    </row>
    <row r="4" spans="1:21" x14ac:dyDescent="0.2">
      <c r="A4" s="495"/>
      <c r="B4" s="496"/>
      <c r="C4" s="497"/>
      <c r="D4" s="200"/>
      <c r="E4" s="201"/>
      <c r="F4" s="201"/>
      <c r="G4" s="224">
        <f t="shared" si="0"/>
        <v>0</v>
      </c>
      <c r="H4" s="225">
        <f t="shared" si="1"/>
        <v>0</v>
      </c>
      <c r="I4" s="226">
        <f t="shared" si="2"/>
        <v>0</v>
      </c>
      <c r="J4" s="227">
        <f t="shared" si="3"/>
        <v>0</v>
      </c>
      <c r="K4" s="226" t="s">
        <v>76</v>
      </c>
      <c r="L4" s="99"/>
      <c r="M4" s="99"/>
      <c r="N4" s="99"/>
      <c r="O4" s="99"/>
      <c r="P4" s="99"/>
      <c r="Q4" s="99"/>
      <c r="R4" s="99"/>
      <c r="S4" s="99"/>
      <c r="T4" s="99"/>
      <c r="U4" s="99"/>
    </row>
    <row r="5" spans="1:21" x14ac:dyDescent="0.2">
      <c r="A5" s="495"/>
      <c r="B5" s="496"/>
      <c r="C5" s="497"/>
      <c r="D5" s="200"/>
      <c r="E5" s="201"/>
      <c r="F5" s="201"/>
      <c r="G5" s="224">
        <f t="shared" si="0"/>
        <v>0</v>
      </c>
      <c r="H5" s="225">
        <f t="shared" si="1"/>
        <v>0</v>
      </c>
      <c r="I5" s="226">
        <f t="shared" si="2"/>
        <v>0</v>
      </c>
      <c r="J5" s="227">
        <f t="shared" si="3"/>
        <v>0</v>
      </c>
      <c r="K5" s="226" t="s">
        <v>80</v>
      </c>
      <c r="L5" s="99"/>
      <c r="M5" s="99"/>
      <c r="N5" s="99"/>
      <c r="O5" s="99"/>
      <c r="P5" s="99"/>
      <c r="Q5" s="99"/>
      <c r="R5" s="99"/>
      <c r="S5" s="99"/>
      <c r="T5" s="99"/>
      <c r="U5" s="99"/>
    </row>
    <row r="6" spans="1:21" x14ac:dyDescent="0.2">
      <c r="A6" s="495"/>
      <c r="B6" s="496"/>
      <c r="C6" s="497"/>
      <c r="D6" s="200"/>
      <c r="E6" s="201"/>
      <c r="F6" s="201"/>
      <c r="G6" s="224">
        <f t="shared" si="0"/>
        <v>0</v>
      </c>
      <c r="H6" s="225">
        <f t="shared" si="1"/>
        <v>0</v>
      </c>
      <c r="I6" s="226">
        <f t="shared" si="2"/>
        <v>0</v>
      </c>
      <c r="J6" s="227">
        <f t="shared" si="3"/>
        <v>0</v>
      </c>
      <c r="K6" s="228" t="s">
        <v>89</v>
      </c>
      <c r="L6" s="99"/>
      <c r="M6" s="99"/>
      <c r="N6" s="99"/>
      <c r="O6" s="99"/>
      <c r="P6" s="99"/>
      <c r="Q6" s="99"/>
      <c r="R6" s="99"/>
      <c r="S6" s="99"/>
      <c r="T6" s="99"/>
      <c r="U6" s="99"/>
    </row>
    <row r="7" spans="1:21" x14ac:dyDescent="0.2">
      <c r="A7" s="495"/>
      <c r="B7" s="496"/>
      <c r="C7" s="497"/>
      <c r="D7" s="200"/>
      <c r="E7" s="201"/>
      <c r="F7" s="201"/>
      <c r="G7" s="224">
        <f t="shared" si="0"/>
        <v>0</v>
      </c>
      <c r="H7" s="225">
        <f t="shared" si="1"/>
        <v>0</v>
      </c>
      <c r="I7" s="226">
        <f t="shared" si="2"/>
        <v>0</v>
      </c>
      <c r="J7" s="227">
        <f t="shared" si="3"/>
        <v>0</v>
      </c>
      <c r="K7" s="228" t="s">
        <v>110</v>
      </c>
      <c r="L7" s="99"/>
      <c r="M7" s="99"/>
      <c r="N7" s="99"/>
      <c r="O7" s="99"/>
      <c r="P7" s="99"/>
      <c r="Q7" s="99"/>
      <c r="R7" s="99"/>
      <c r="S7" s="99"/>
      <c r="T7" s="99"/>
      <c r="U7" s="99"/>
    </row>
    <row r="8" spans="1:21" x14ac:dyDescent="0.2">
      <c r="A8" s="495"/>
      <c r="B8" s="496"/>
      <c r="C8" s="497"/>
      <c r="D8" s="200"/>
      <c r="E8" s="201"/>
      <c r="F8" s="201"/>
      <c r="G8" s="224">
        <f t="shared" si="0"/>
        <v>0</v>
      </c>
      <c r="H8" s="225">
        <f t="shared" si="1"/>
        <v>0</v>
      </c>
      <c r="I8" s="226">
        <f t="shared" si="2"/>
        <v>0</v>
      </c>
      <c r="J8" s="227">
        <f t="shared" si="3"/>
        <v>0</v>
      </c>
      <c r="K8" s="228" t="s">
        <v>151</v>
      </c>
      <c r="L8" s="99"/>
      <c r="M8" s="99"/>
      <c r="N8" s="99"/>
      <c r="O8" s="99"/>
      <c r="P8" s="99"/>
      <c r="Q8" s="99"/>
      <c r="R8" s="99"/>
      <c r="S8" s="99"/>
      <c r="T8" s="99"/>
      <c r="U8" s="99"/>
    </row>
    <row r="9" spans="1:21" x14ac:dyDescent="0.2">
      <c r="A9" s="495"/>
      <c r="B9" s="496"/>
      <c r="C9" s="497"/>
      <c r="D9" s="200"/>
      <c r="E9" s="201"/>
      <c r="F9" s="201"/>
      <c r="G9" s="224">
        <f t="shared" si="0"/>
        <v>0</v>
      </c>
      <c r="H9" s="225">
        <f t="shared" si="1"/>
        <v>0</v>
      </c>
      <c r="I9" s="226">
        <f t="shared" si="2"/>
        <v>0</v>
      </c>
      <c r="J9" s="227">
        <f t="shared" si="3"/>
        <v>0</v>
      </c>
      <c r="K9" s="228" t="s">
        <v>157</v>
      </c>
      <c r="L9" s="99"/>
      <c r="M9" s="99"/>
      <c r="N9" s="99"/>
      <c r="O9" s="99"/>
      <c r="P9" s="99"/>
      <c r="Q9" s="99"/>
      <c r="R9" s="99"/>
      <c r="S9" s="99"/>
      <c r="T9" s="99"/>
      <c r="U9" s="99"/>
    </row>
    <row r="10" spans="1:21" x14ac:dyDescent="0.2">
      <c r="A10" s="495"/>
      <c r="B10" s="496"/>
      <c r="C10" s="497"/>
      <c r="D10" s="200"/>
      <c r="E10" s="201"/>
      <c r="F10" s="201"/>
      <c r="G10" s="224">
        <f t="shared" si="0"/>
        <v>0</v>
      </c>
      <c r="H10" s="225">
        <f t="shared" si="1"/>
        <v>0</v>
      </c>
      <c r="I10" s="226">
        <f t="shared" si="2"/>
        <v>0</v>
      </c>
      <c r="J10" s="227">
        <f t="shared" si="3"/>
        <v>0</v>
      </c>
      <c r="K10" s="228" t="s">
        <v>169</v>
      </c>
      <c r="L10" s="99"/>
      <c r="M10" s="99"/>
      <c r="N10" s="99"/>
      <c r="O10" s="99"/>
      <c r="P10" s="99"/>
      <c r="Q10" s="99"/>
      <c r="R10" s="99"/>
      <c r="S10" s="99"/>
      <c r="T10" s="99"/>
      <c r="U10" s="99"/>
    </row>
    <row r="11" spans="1:21" x14ac:dyDescent="0.2">
      <c r="A11" s="495"/>
      <c r="B11" s="496"/>
      <c r="C11" s="497"/>
      <c r="D11" s="200"/>
      <c r="E11" s="201"/>
      <c r="F11" s="201"/>
      <c r="G11" s="224">
        <f t="shared" si="0"/>
        <v>0</v>
      </c>
      <c r="H11" s="225">
        <f t="shared" si="1"/>
        <v>0</v>
      </c>
      <c r="I11" s="226">
        <f t="shared" si="2"/>
        <v>0</v>
      </c>
      <c r="J11" s="227">
        <f t="shared" ref="J11:J49" si="4">F11/0.3788</f>
        <v>0</v>
      </c>
      <c r="K11" s="228" t="s">
        <v>216</v>
      </c>
      <c r="L11" s="99"/>
      <c r="M11" s="99"/>
      <c r="N11" s="99"/>
      <c r="O11" s="99"/>
      <c r="P11" s="99"/>
      <c r="Q11" s="99"/>
      <c r="R11" s="99"/>
      <c r="S11" s="99"/>
      <c r="T11" s="99"/>
      <c r="U11" s="99"/>
    </row>
    <row r="12" spans="1:21" x14ac:dyDescent="0.2">
      <c r="A12" s="495"/>
      <c r="B12" s="496"/>
      <c r="C12" s="497"/>
      <c r="D12" s="200"/>
      <c r="E12" s="201"/>
      <c r="F12" s="201"/>
      <c r="G12" s="224">
        <f t="shared" si="0"/>
        <v>0</v>
      </c>
      <c r="H12" s="225">
        <f t="shared" si="1"/>
        <v>0</v>
      </c>
      <c r="I12" s="226">
        <f t="shared" si="2"/>
        <v>0</v>
      </c>
      <c r="J12" s="227">
        <f t="shared" si="4"/>
        <v>0</v>
      </c>
      <c r="K12" s="228" t="s">
        <v>236</v>
      </c>
      <c r="L12" s="99"/>
      <c r="M12" s="99"/>
      <c r="N12" s="99"/>
      <c r="O12" s="99"/>
      <c r="P12" s="99"/>
      <c r="Q12" s="99"/>
      <c r="R12" s="99"/>
      <c r="S12" s="99"/>
      <c r="T12" s="99"/>
      <c r="U12" s="99"/>
    </row>
    <row r="13" spans="1:21" x14ac:dyDescent="0.2">
      <c r="A13" s="495"/>
      <c r="B13" s="496"/>
      <c r="C13" s="497"/>
      <c r="D13" s="200"/>
      <c r="E13" s="201"/>
      <c r="F13" s="201"/>
      <c r="G13" s="224">
        <f t="shared" si="0"/>
        <v>0</v>
      </c>
      <c r="H13" s="225">
        <f t="shared" si="1"/>
        <v>0</v>
      </c>
      <c r="I13" s="226">
        <f t="shared" si="2"/>
        <v>0</v>
      </c>
      <c r="J13" s="227">
        <f t="shared" si="4"/>
        <v>0</v>
      </c>
      <c r="K13" s="228" t="s">
        <v>287</v>
      </c>
      <c r="L13" s="99"/>
      <c r="M13" s="99"/>
      <c r="N13" s="99"/>
      <c r="O13" s="99"/>
      <c r="P13" s="99"/>
      <c r="Q13" s="99"/>
      <c r="R13" s="99"/>
      <c r="S13" s="99"/>
      <c r="T13" s="99"/>
      <c r="U13" s="99"/>
    </row>
    <row r="14" spans="1:21" x14ac:dyDescent="0.2">
      <c r="A14" s="495"/>
      <c r="B14" s="496"/>
      <c r="C14" s="497"/>
      <c r="D14" s="200"/>
      <c r="E14" s="201"/>
      <c r="F14" s="201"/>
      <c r="G14" s="224">
        <f t="shared" si="0"/>
        <v>0</v>
      </c>
      <c r="H14" s="225">
        <f t="shared" si="1"/>
        <v>0</v>
      </c>
      <c r="I14" s="226">
        <f t="shared" si="2"/>
        <v>0</v>
      </c>
      <c r="J14" s="227">
        <f t="shared" si="4"/>
        <v>0</v>
      </c>
      <c r="K14" s="229" t="s">
        <v>382</v>
      </c>
      <c r="L14" s="99"/>
      <c r="M14" s="99"/>
      <c r="N14" s="99"/>
      <c r="O14" s="99"/>
      <c r="P14" s="99"/>
      <c r="Q14" s="99"/>
      <c r="R14" s="99"/>
      <c r="S14" s="99"/>
      <c r="T14" s="99"/>
      <c r="U14" s="99"/>
    </row>
    <row r="15" spans="1:21" x14ac:dyDescent="0.2">
      <c r="A15" s="495"/>
      <c r="B15" s="496"/>
      <c r="C15" s="497"/>
      <c r="D15" s="200"/>
      <c r="E15" s="201"/>
      <c r="F15" s="201"/>
      <c r="G15" s="224">
        <f t="shared" si="0"/>
        <v>0</v>
      </c>
      <c r="H15" s="225">
        <f t="shared" si="1"/>
        <v>0</v>
      </c>
      <c r="I15" s="226">
        <f t="shared" si="2"/>
        <v>0</v>
      </c>
      <c r="J15" s="227">
        <f t="shared" si="4"/>
        <v>0</v>
      </c>
      <c r="K15" s="99" t="s">
        <v>316</v>
      </c>
      <c r="L15" s="99"/>
      <c r="M15" s="99"/>
      <c r="N15" s="99"/>
      <c r="O15" s="99"/>
      <c r="P15" s="99"/>
      <c r="Q15" s="99"/>
      <c r="R15" s="99"/>
      <c r="S15" s="99"/>
      <c r="T15" s="99"/>
      <c r="U15" s="99"/>
    </row>
    <row r="16" spans="1:21" x14ac:dyDescent="0.2">
      <c r="A16" s="495"/>
      <c r="B16" s="496"/>
      <c r="C16" s="497"/>
      <c r="D16" s="200"/>
      <c r="E16" s="201"/>
      <c r="F16" s="201"/>
      <c r="G16" s="224">
        <f t="shared" si="0"/>
        <v>0</v>
      </c>
      <c r="H16" s="225">
        <f t="shared" si="1"/>
        <v>0</v>
      </c>
      <c r="I16" s="226">
        <f t="shared" si="2"/>
        <v>0</v>
      </c>
      <c r="J16" s="227">
        <f t="shared" si="4"/>
        <v>0</v>
      </c>
      <c r="K16" s="99" t="s">
        <v>350</v>
      </c>
      <c r="L16" s="99"/>
      <c r="M16" s="99"/>
      <c r="N16" s="99"/>
      <c r="O16" s="99"/>
      <c r="P16" s="99"/>
      <c r="Q16" s="99"/>
      <c r="R16" s="99"/>
      <c r="S16" s="99"/>
      <c r="T16" s="99"/>
      <c r="U16" s="99"/>
    </row>
    <row r="17" spans="1:21" x14ac:dyDescent="0.2">
      <c r="A17" s="495"/>
      <c r="B17" s="496"/>
      <c r="C17" s="497"/>
      <c r="D17" s="200"/>
      <c r="E17" s="201"/>
      <c r="F17" s="201"/>
      <c r="G17" s="224">
        <f t="shared" si="0"/>
        <v>0</v>
      </c>
      <c r="H17" s="225">
        <f t="shared" si="1"/>
        <v>0</v>
      </c>
      <c r="I17" s="226">
        <f t="shared" si="2"/>
        <v>0</v>
      </c>
      <c r="J17" s="227">
        <f t="shared" si="4"/>
        <v>0</v>
      </c>
      <c r="K17" s="99" t="s">
        <v>349</v>
      </c>
      <c r="L17" s="99"/>
      <c r="M17" s="99"/>
      <c r="N17" s="99"/>
      <c r="O17" s="99"/>
      <c r="P17" s="99"/>
      <c r="Q17" s="99"/>
      <c r="R17" s="99"/>
      <c r="S17" s="99"/>
      <c r="T17" s="99"/>
      <c r="U17" s="99"/>
    </row>
    <row r="18" spans="1:21" x14ac:dyDescent="0.2">
      <c r="A18" s="495"/>
      <c r="B18" s="496"/>
      <c r="C18" s="497"/>
      <c r="D18" s="200"/>
      <c r="E18" s="201"/>
      <c r="F18" s="201"/>
      <c r="G18" s="224">
        <f t="shared" si="0"/>
        <v>0</v>
      </c>
      <c r="H18" s="225">
        <f t="shared" si="1"/>
        <v>0</v>
      </c>
      <c r="I18" s="226">
        <f t="shared" si="2"/>
        <v>0</v>
      </c>
      <c r="J18" s="227">
        <f t="shared" si="4"/>
        <v>0</v>
      </c>
      <c r="K18" s="99" t="s">
        <v>438</v>
      </c>
      <c r="L18" s="99"/>
      <c r="M18" s="99"/>
      <c r="N18" s="99"/>
      <c r="O18" s="99"/>
      <c r="P18" s="99"/>
      <c r="Q18" s="99"/>
      <c r="R18" s="99"/>
      <c r="S18" s="99"/>
      <c r="T18" s="99"/>
      <c r="U18" s="99"/>
    </row>
    <row r="19" spans="1:21" x14ac:dyDescent="0.2">
      <c r="A19" s="495"/>
      <c r="B19" s="496"/>
      <c r="C19" s="497"/>
      <c r="D19" s="200"/>
      <c r="E19" s="201"/>
      <c r="F19" s="201"/>
      <c r="G19" s="224">
        <f t="shared" si="0"/>
        <v>0</v>
      </c>
      <c r="H19" s="225">
        <f t="shared" si="1"/>
        <v>0</v>
      </c>
      <c r="I19" s="226">
        <f t="shared" si="2"/>
        <v>0</v>
      </c>
      <c r="J19" s="227">
        <f t="shared" si="4"/>
        <v>0</v>
      </c>
      <c r="K19" s="99" t="s">
        <v>582</v>
      </c>
      <c r="L19" s="99"/>
      <c r="M19" s="99"/>
      <c r="N19" s="99"/>
      <c r="O19" s="99"/>
      <c r="P19" s="99"/>
      <c r="Q19" s="99"/>
      <c r="R19" s="99"/>
      <c r="S19" s="99"/>
      <c r="T19" s="99"/>
      <c r="U19" s="99"/>
    </row>
    <row r="20" spans="1:21" x14ac:dyDescent="0.2">
      <c r="A20" s="495"/>
      <c r="B20" s="496"/>
      <c r="C20" s="497"/>
      <c r="D20" s="200"/>
      <c r="E20" s="201"/>
      <c r="F20" s="201"/>
      <c r="G20" s="224">
        <f t="shared" si="0"/>
        <v>0</v>
      </c>
      <c r="H20" s="225">
        <f t="shared" si="1"/>
        <v>0</v>
      </c>
      <c r="I20" s="226">
        <f t="shared" si="2"/>
        <v>0</v>
      </c>
      <c r="J20" s="227">
        <f t="shared" si="4"/>
        <v>0</v>
      </c>
      <c r="K20" s="99" t="s">
        <v>595</v>
      </c>
      <c r="L20" s="99"/>
      <c r="R20" s="99"/>
      <c r="S20" s="99"/>
      <c r="T20" s="99"/>
      <c r="U20" s="99"/>
    </row>
    <row r="21" spans="1:21" x14ac:dyDescent="0.2">
      <c r="A21" s="495"/>
      <c r="B21" s="496"/>
      <c r="C21" s="497"/>
      <c r="D21" s="200"/>
      <c r="E21" s="201"/>
      <c r="F21" s="201"/>
      <c r="G21" s="224">
        <f t="shared" si="0"/>
        <v>0</v>
      </c>
      <c r="H21" s="225">
        <f t="shared" si="1"/>
        <v>0</v>
      </c>
      <c r="I21" s="226">
        <f t="shared" si="2"/>
        <v>0</v>
      </c>
      <c r="J21" s="227">
        <f t="shared" si="4"/>
        <v>0</v>
      </c>
      <c r="K21" s="99"/>
      <c r="L21" s="99"/>
      <c r="N21" s="99"/>
      <c r="O21" s="99"/>
      <c r="P21" s="99"/>
      <c r="Q21" s="99"/>
      <c r="R21" s="99"/>
      <c r="S21" s="99"/>
      <c r="T21" s="99"/>
      <c r="U21" s="99"/>
    </row>
    <row r="22" spans="1:21" x14ac:dyDescent="0.2">
      <c r="A22" s="495"/>
      <c r="B22" s="496"/>
      <c r="C22" s="497"/>
      <c r="D22" s="200"/>
      <c r="E22" s="201"/>
      <c r="F22" s="201"/>
      <c r="G22" s="224">
        <f t="shared" si="0"/>
        <v>0</v>
      </c>
      <c r="H22" s="225">
        <f t="shared" si="1"/>
        <v>0</v>
      </c>
      <c r="I22" s="226">
        <f t="shared" si="2"/>
        <v>0</v>
      </c>
      <c r="J22" s="227">
        <f t="shared" si="4"/>
        <v>0</v>
      </c>
      <c r="K22" s="99" t="s">
        <v>583</v>
      </c>
      <c r="L22" s="99"/>
      <c r="N22" s="99"/>
      <c r="O22" s="99"/>
      <c r="P22" s="99"/>
      <c r="Q22" s="99"/>
      <c r="R22" s="99"/>
      <c r="S22" s="99"/>
      <c r="T22" s="99"/>
      <c r="U22" s="99"/>
    </row>
    <row r="23" spans="1:21" x14ac:dyDescent="0.2">
      <c r="A23" s="495"/>
      <c r="B23" s="496"/>
      <c r="C23" s="497"/>
      <c r="D23" s="200"/>
      <c r="E23" s="201"/>
      <c r="F23" s="201"/>
      <c r="G23" s="224">
        <f t="shared" si="0"/>
        <v>0</v>
      </c>
      <c r="H23" s="225">
        <f t="shared" si="1"/>
        <v>0</v>
      </c>
      <c r="I23" s="226">
        <f t="shared" si="2"/>
        <v>0</v>
      </c>
      <c r="J23" s="227">
        <f t="shared" si="4"/>
        <v>0</v>
      </c>
      <c r="K23" s="230">
        <v>91700</v>
      </c>
      <c r="L23" s="99"/>
      <c r="N23" s="99"/>
      <c r="O23" s="99"/>
      <c r="P23" s="99"/>
      <c r="Q23" s="99"/>
      <c r="R23" s="99"/>
      <c r="S23" s="99"/>
      <c r="T23" s="99"/>
      <c r="U23" s="99"/>
    </row>
    <row r="24" spans="1:21" x14ac:dyDescent="0.2">
      <c r="A24" s="495"/>
      <c r="B24" s="496"/>
      <c r="C24" s="497"/>
      <c r="D24" s="200"/>
      <c r="E24" s="201"/>
      <c r="F24" s="201"/>
      <c r="G24" s="224">
        <f t="shared" si="0"/>
        <v>0</v>
      </c>
      <c r="H24" s="225">
        <f t="shared" si="1"/>
        <v>0</v>
      </c>
      <c r="I24" s="226">
        <f t="shared" si="2"/>
        <v>0</v>
      </c>
      <c r="J24" s="227">
        <f t="shared" si="4"/>
        <v>0</v>
      </c>
      <c r="K24" s="99" t="s">
        <v>584</v>
      </c>
      <c r="L24" s="99"/>
      <c r="N24" s="99"/>
      <c r="O24" s="99"/>
      <c r="P24" s="99"/>
      <c r="Q24" s="99"/>
      <c r="R24" s="99"/>
      <c r="S24" s="99"/>
      <c r="T24" s="99"/>
      <c r="U24" s="99"/>
    </row>
    <row r="25" spans="1:21" x14ac:dyDescent="0.2">
      <c r="A25" s="495"/>
      <c r="B25" s="496"/>
      <c r="C25" s="497"/>
      <c r="D25" s="200"/>
      <c r="E25" s="201"/>
      <c r="F25" s="201"/>
      <c r="G25" s="224">
        <f t="shared" si="0"/>
        <v>0</v>
      </c>
      <c r="H25" s="225">
        <f t="shared" si="1"/>
        <v>0</v>
      </c>
      <c r="I25" s="226">
        <f t="shared" si="2"/>
        <v>0</v>
      </c>
      <c r="J25" s="227">
        <f t="shared" si="4"/>
        <v>0</v>
      </c>
      <c r="K25" s="231">
        <v>95</v>
      </c>
      <c r="L25" s="99"/>
      <c r="M25" s="99"/>
      <c r="N25" s="99"/>
      <c r="O25" s="99"/>
      <c r="P25" s="99"/>
      <c r="Q25" s="99"/>
      <c r="R25" s="99"/>
      <c r="S25" s="99"/>
      <c r="T25" s="99"/>
      <c r="U25" s="99"/>
    </row>
    <row r="26" spans="1:21" x14ac:dyDescent="0.2">
      <c r="A26" s="495"/>
      <c r="B26" s="496"/>
      <c r="C26" s="497"/>
      <c r="D26" s="200"/>
      <c r="E26" s="201"/>
      <c r="F26" s="201"/>
      <c r="G26" s="224">
        <f t="shared" si="0"/>
        <v>0</v>
      </c>
      <c r="H26" s="225">
        <f t="shared" si="1"/>
        <v>0</v>
      </c>
      <c r="I26" s="226">
        <f t="shared" si="2"/>
        <v>0</v>
      </c>
      <c r="J26" s="227">
        <f t="shared" si="4"/>
        <v>0</v>
      </c>
      <c r="K26" s="99"/>
      <c r="L26" s="99"/>
      <c r="M26" s="99"/>
      <c r="N26" s="99"/>
      <c r="O26" s="99"/>
      <c r="P26" s="99"/>
      <c r="Q26" s="99"/>
      <c r="R26" s="99"/>
      <c r="S26" s="99"/>
      <c r="T26" s="99"/>
      <c r="U26" s="99"/>
    </row>
    <row r="27" spans="1:21" x14ac:dyDescent="0.2">
      <c r="A27" s="495"/>
      <c r="B27" s="496"/>
      <c r="C27" s="497"/>
      <c r="D27" s="200"/>
      <c r="E27" s="201"/>
      <c r="F27" s="201"/>
      <c r="G27" s="224">
        <f t="shared" si="0"/>
        <v>0</v>
      </c>
      <c r="H27" s="225">
        <f t="shared" si="1"/>
        <v>0</v>
      </c>
      <c r="I27" s="226">
        <f t="shared" si="2"/>
        <v>0</v>
      </c>
      <c r="J27" s="227">
        <f t="shared" si="4"/>
        <v>0</v>
      </c>
      <c r="K27" s="99"/>
      <c r="L27" s="99"/>
      <c r="M27" s="99"/>
      <c r="N27" s="99"/>
      <c r="O27" s="99"/>
      <c r="P27" s="99"/>
      <c r="Q27" s="99"/>
      <c r="R27" s="99"/>
      <c r="S27" s="99"/>
      <c r="T27" s="99"/>
      <c r="U27" s="99"/>
    </row>
    <row r="28" spans="1:21" x14ac:dyDescent="0.2">
      <c r="A28" s="495"/>
      <c r="B28" s="496"/>
      <c r="C28" s="497"/>
      <c r="D28" s="200"/>
      <c r="E28" s="201"/>
      <c r="F28" s="201"/>
      <c r="G28" s="224">
        <f t="shared" si="0"/>
        <v>0</v>
      </c>
      <c r="H28" s="225">
        <f t="shared" si="1"/>
        <v>0</v>
      </c>
      <c r="I28" s="226">
        <f t="shared" si="2"/>
        <v>0</v>
      </c>
      <c r="J28" s="227">
        <f t="shared" si="4"/>
        <v>0</v>
      </c>
      <c r="K28" s="99"/>
      <c r="L28" s="99"/>
      <c r="M28" s="99"/>
      <c r="N28" s="99"/>
      <c r="O28" s="99"/>
      <c r="P28" s="99"/>
      <c r="Q28" s="99"/>
      <c r="R28" s="99"/>
      <c r="S28" s="99"/>
      <c r="T28" s="99"/>
      <c r="U28" s="99"/>
    </row>
    <row r="29" spans="1:21" x14ac:dyDescent="0.2">
      <c r="A29" s="495"/>
      <c r="B29" s="496"/>
      <c r="C29" s="497"/>
      <c r="D29" s="200"/>
      <c r="E29" s="201"/>
      <c r="F29" s="201"/>
      <c r="G29" s="224">
        <f t="shared" si="0"/>
        <v>0</v>
      </c>
      <c r="H29" s="225">
        <f t="shared" si="1"/>
        <v>0</v>
      </c>
      <c r="I29" s="226">
        <f t="shared" si="2"/>
        <v>0</v>
      </c>
      <c r="J29" s="227">
        <f t="shared" si="4"/>
        <v>0</v>
      </c>
      <c r="K29" s="99"/>
      <c r="L29" s="99"/>
      <c r="M29" s="99"/>
      <c r="N29" s="99"/>
      <c r="O29" s="99"/>
      <c r="P29" s="99"/>
      <c r="Q29" s="99"/>
      <c r="R29" s="99"/>
      <c r="S29" s="99"/>
      <c r="T29" s="99"/>
      <c r="U29" s="99"/>
    </row>
    <row r="30" spans="1:21" x14ac:dyDescent="0.2">
      <c r="A30" s="495"/>
      <c r="B30" s="496"/>
      <c r="C30" s="497"/>
      <c r="D30" s="200"/>
      <c r="E30" s="201"/>
      <c r="F30" s="201"/>
      <c r="G30" s="224">
        <f t="shared" si="0"/>
        <v>0</v>
      </c>
      <c r="H30" s="225">
        <f t="shared" si="1"/>
        <v>0</v>
      </c>
      <c r="I30" s="226">
        <f t="shared" si="2"/>
        <v>0</v>
      </c>
      <c r="J30" s="227">
        <f t="shared" si="4"/>
        <v>0</v>
      </c>
      <c r="K30" s="99"/>
      <c r="L30" s="99"/>
      <c r="M30" s="99"/>
      <c r="N30" s="99"/>
      <c r="O30" s="99"/>
      <c r="P30" s="99"/>
      <c r="Q30" s="99"/>
      <c r="R30" s="99"/>
      <c r="S30" s="99"/>
      <c r="T30" s="99"/>
      <c r="U30" s="99"/>
    </row>
    <row r="31" spans="1:21" x14ac:dyDescent="0.2">
      <c r="A31" s="495"/>
      <c r="B31" s="496"/>
      <c r="C31" s="497"/>
      <c r="D31" s="200"/>
      <c r="E31" s="201"/>
      <c r="F31" s="201"/>
      <c r="G31" s="224">
        <f t="shared" si="0"/>
        <v>0</v>
      </c>
      <c r="H31" s="225">
        <f t="shared" si="1"/>
        <v>0</v>
      </c>
      <c r="I31" s="226">
        <f t="shared" si="2"/>
        <v>0</v>
      </c>
      <c r="J31" s="227">
        <f t="shared" si="4"/>
        <v>0</v>
      </c>
      <c r="K31" s="99"/>
      <c r="L31" s="99"/>
      <c r="M31" s="99"/>
      <c r="N31" s="99"/>
      <c r="O31" s="99"/>
      <c r="P31" s="99"/>
      <c r="Q31" s="99"/>
      <c r="R31" s="99"/>
      <c r="S31" s="99"/>
      <c r="T31" s="99"/>
      <c r="U31" s="99"/>
    </row>
    <row r="32" spans="1:21" x14ac:dyDescent="0.2">
      <c r="A32" s="495"/>
      <c r="B32" s="496"/>
      <c r="C32" s="497"/>
      <c r="D32" s="200"/>
      <c r="E32" s="201"/>
      <c r="F32" s="201"/>
      <c r="G32" s="224">
        <f t="shared" si="0"/>
        <v>0</v>
      </c>
      <c r="H32" s="225">
        <f t="shared" si="1"/>
        <v>0</v>
      </c>
      <c r="I32" s="226">
        <f t="shared" si="2"/>
        <v>0</v>
      </c>
      <c r="J32" s="227">
        <f t="shared" si="4"/>
        <v>0</v>
      </c>
      <c r="K32" s="99"/>
      <c r="L32" s="99"/>
      <c r="M32" s="99"/>
      <c r="N32" s="99"/>
      <c r="O32" s="99"/>
      <c r="P32" s="99"/>
      <c r="Q32" s="99"/>
      <c r="R32" s="99"/>
      <c r="S32" s="99"/>
      <c r="T32" s="99"/>
      <c r="U32" s="99"/>
    </row>
    <row r="33" spans="1:21" x14ac:dyDescent="0.2">
      <c r="A33" s="495"/>
      <c r="B33" s="496"/>
      <c r="C33" s="497"/>
      <c r="D33" s="200"/>
      <c r="E33" s="201"/>
      <c r="F33" s="201"/>
      <c r="G33" s="224">
        <f t="shared" si="0"/>
        <v>0</v>
      </c>
      <c r="H33" s="225">
        <f t="shared" si="1"/>
        <v>0</v>
      </c>
      <c r="I33" s="226">
        <f t="shared" si="2"/>
        <v>0</v>
      </c>
      <c r="J33" s="227">
        <f t="shared" si="4"/>
        <v>0</v>
      </c>
      <c r="K33" s="99"/>
      <c r="L33" s="99"/>
      <c r="M33" s="99"/>
      <c r="N33" s="99"/>
      <c r="O33" s="99"/>
      <c r="P33" s="99"/>
      <c r="Q33" s="99"/>
      <c r="R33" s="99"/>
      <c r="S33" s="99"/>
      <c r="T33" s="99"/>
      <c r="U33" s="99"/>
    </row>
    <row r="34" spans="1:21" x14ac:dyDescent="0.2">
      <c r="A34" s="495"/>
      <c r="B34" s="496"/>
      <c r="C34" s="497"/>
      <c r="D34" s="200"/>
      <c r="E34" s="201"/>
      <c r="F34" s="201"/>
      <c r="G34" s="224">
        <f t="shared" ref="G34:G65" si="5">IF(E34=0,0,IF(F34/E34&gt;0.38,SQRT(((E34*E34)+(F34*F34))/0.4),SQRT((E34*E34)+(F34*F34))))</f>
        <v>0</v>
      </c>
      <c r="H34" s="225">
        <f t="shared" ref="H34:H65" si="6" xml:space="preserve"> IF(B34&gt;65,66537/(-0.02152*G34+229.719)*(0.0085*B34+0.4552),66537/(-0.02152*G34+229.719))*D34</f>
        <v>0</v>
      </c>
      <c r="I34" s="226">
        <f t="shared" ref="I34:I65" si="7">IF(C34="no",H34,H34*1.1)</f>
        <v>0</v>
      </c>
      <c r="J34" s="227">
        <f t="shared" si="4"/>
        <v>0</v>
      </c>
      <c r="K34" s="99"/>
      <c r="L34" s="99"/>
      <c r="M34" s="99"/>
      <c r="N34" s="99"/>
      <c r="O34" s="99"/>
      <c r="P34" s="99"/>
      <c r="Q34" s="99"/>
      <c r="R34" s="99"/>
      <c r="S34" s="99"/>
      <c r="T34" s="99"/>
      <c r="U34" s="99"/>
    </row>
    <row r="35" spans="1:21" x14ac:dyDescent="0.2">
      <c r="A35" s="495"/>
      <c r="B35" s="496"/>
      <c r="C35" s="497"/>
      <c r="D35" s="200"/>
      <c r="E35" s="201"/>
      <c r="F35" s="201"/>
      <c r="G35" s="224">
        <f t="shared" si="5"/>
        <v>0</v>
      </c>
      <c r="H35" s="225">
        <f t="shared" si="6"/>
        <v>0</v>
      </c>
      <c r="I35" s="226">
        <f t="shared" si="7"/>
        <v>0</v>
      </c>
      <c r="J35" s="227">
        <f t="shared" si="4"/>
        <v>0</v>
      </c>
      <c r="K35" s="99"/>
      <c r="L35" s="99"/>
      <c r="M35" s="99"/>
      <c r="N35" s="99"/>
      <c r="O35" s="99"/>
      <c r="P35" s="99"/>
      <c r="Q35" s="99"/>
      <c r="R35" s="99"/>
      <c r="S35" s="99"/>
      <c r="T35" s="99"/>
      <c r="U35" s="99"/>
    </row>
    <row r="36" spans="1:21" x14ac:dyDescent="0.2">
      <c r="A36" s="495"/>
      <c r="B36" s="496"/>
      <c r="C36" s="497"/>
      <c r="D36" s="200"/>
      <c r="E36" s="201"/>
      <c r="F36" s="201"/>
      <c r="G36" s="224">
        <f t="shared" si="5"/>
        <v>0</v>
      </c>
      <c r="H36" s="225">
        <f t="shared" si="6"/>
        <v>0</v>
      </c>
      <c r="I36" s="226">
        <f t="shared" si="7"/>
        <v>0</v>
      </c>
      <c r="J36" s="227">
        <f t="shared" si="4"/>
        <v>0</v>
      </c>
      <c r="K36" s="99"/>
      <c r="L36" s="99"/>
      <c r="M36" s="99"/>
      <c r="N36" s="99"/>
      <c r="O36" s="99"/>
      <c r="P36" s="99"/>
      <c r="Q36" s="99"/>
      <c r="R36" s="99"/>
      <c r="S36" s="99"/>
      <c r="T36" s="99"/>
      <c r="U36" s="99"/>
    </row>
    <row r="37" spans="1:21" x14ac:dyDescent="0.2">
      <c r="A37" s="495"/>
      <c r="B37" s="496"/>
      <c r="C37" s="497"/>
      <c r="D37" s="200"/>
      <c r="E37" s="201"/>
      <c r="F37" s="201"/>
      <c r="G37" s="224">
        <f t="shared" si="5"/>
        <v>0</v>
      </c>
      <c r="H37" s="225">
        <f t="shared" si="6"/>
        <v>0</v>
      </c>
      <c r="I37" s="226">
        <f t="shared" si="7"/>
        <v>0</v>
      </c>
      <c r="J37" s="227">
        <f t="shared" si="4"/>
        <v>0</v>
      </c>
      <c r="K37" s="99"/>
      <c r="L37" s="99"/>
      <c r="M37" s="99"/>
      <c r="N37" s="99"/>
      <c r="O37" s="99"/>
      <c r="P37" s="99"/>
      <c r="Q37" s="99"/>
      <c r="R37" s="99"/>
      <c r="S37" s="99"/>
      <c r="T37" s="99"/>
      <c r="U37" s="99"/>
    </row>
    <row r="38" spans="1:21" x14ac:dyDescent="0.2">
      <c r="A38" s="495"/>
      <c r="B38" s="496"/>
      <c r="C38" s="497"/>
      <c r="D38" s="200"/>
      <c r="E38" s="201"/>
      <c r="F38" s="201"/>
      <c r="G38" s="224">
        <f t="shared" si="5"/>
        <v>0</v>
      </c>
      <c r="H38" s="225">
        <f t="shared" si="6"/>
        <v>0</v>
      </c>
      <c r="I38" s="226">
        <f t="shared" si="7"/>
        <v>0</v>
      </c>
      <c r="J38" s="227">
        <f t="shared" si="4"/>
        <v>0</v>
      </c>
      <c r="K38" s="99"/>
      <c r="L38" s="99"/>
      <c r="M38" s="99"/>
      <c r="N38" s="99"/>
      <c r="O38" s="99"/>
      <c r="P38" s="99"/>
      <c r="Q38" s="99"/>
      <c r="R38" s="99"/>
      <c r="S38" s="99"/>
      <c r="T38" s="99"/>
      <c r="U38" s="99"/>
    </row>
    <row r="39" spans="1:21" x14ac:dyDescent="0.2">
      <c r="A39" s="495"/>
      <c r="B39" s="496"/>
      <c r="C39" s="497"/>
      <c r="D39" s="200"/>
      <c r="E39" s="201"/>
      <c r="F39" s="201"/>
      <c r="G39" s="224">
        <f t="shared" si="5"/>
        <v>0</v>
      </c>
      <c r="H39" s="225">
        <f t="shared" si="6"/>
        <v>0</v>
      </c>
      <c r="I39" s="226">
        <f t="shared" si="7"/>
        <v>0</v>
      </c>
      <c r="J39" s="227">
        <f t="shared" si="4"/>
        <v>0</v>
      </c>
      <c r="K39" s="99"/>
      <c r="L39" s="99"/>
      <c r="M39" s="99"/>
      <c r="N39" s="99"/>
      <c r="O39" s="99"/>
      <c r="P39" s="99"/>
      <c r="Q39" s="99"/>
      <c r="R39" s="99"/>
      <c r="S39" s="99"/>
      <c r="T39" s="99"/>
      <c r="U39" s="99"/>
    </row>
    <row r="40" spans="1:21" x14ac:dyDescent="0.2">
      <c r="A40" s="495"/>
      <c r="B40" s="496"/>
      <c r="C40" s="497"/>
      <c r="D40" s="200"/>
      <c r="E40" s="201"/>
      <c r="F40" s="201"/>
      <c r="G40" s="224">
        <f t="shared" si="5"/>
        <v>0</v>
      </c>
      <c r="H40" s="225">
        <f t="shared" si="6"/>
        <v>0</v>
      </c>
      <c r="I40" s="226">
        <f t="shared" si="7"/>
        <v>0</v>
      </c>
      <c r="J40" s="227">
        <f t="shared" si="4"/>
        <v>0</v>
      </c>
      <c r="K40" s="99"/>
      <c r="L40" s="99"/>
      <c r="M40" s="99"/>
      <c r="N40" s="99"/>
      <c r="O40" s="99"/>
      <c r="P40" s="99"/>
      <c r="Q40" s="99"/>
      <c r="R40" s="99"/>
      <c r="S40" s="99"/>
      <c r="T40" s="99"/>
      <c r="U40" s="99"/>
    </row>
    <row r="41" spans="1:21" x14ac:dyDescent="0.2">
      <c r="A41" s="495"/>
      <c r="B41" s="496"/>
      <c r="C41" s="497"/>
      <c r="D41" s="200"/>
      <c r="E41" s="201"/>
      <c r="F41" s="201"/>
      <c r="G41" s="224">
        <f t="shared" si="5"/>
        <v>0</v>
      </c>
      <c r="H41" s="225">
        <f t="shared" si="6"/>
        <v>0</v>
      </c>
      <c r="I41" s="226">
        <f t="shared" si="7"/>
        <v>0</v>
      </c>
      <c r="J41" s="227">
        <f t="shared" si="4"/>
        <v>0</v>
      </c>
      <c r="K41" s="99"/>
      <c r="L41" s="99"/>
      <c r="M41" s="99"/>
      <c r="N41" s="99"/>
      <c r="O41" s="99"/>
      <c r="P41" s="99"/>
      <c r="Q41" s="99"/>
      <c r="R41" s="99"/>
      <c r="S41" s="99"/>
      <c r="T41" s="99"/>
      <c r="U41" s="99"/>
    </row>
    <row r="42" spans="1:21" x14ac:dyDescent="0.2">
      <c r="A42" s="495"/>
      <c r="B42" s="496"/>
      <c r="C42" s="497"/>
      <c r="D42" s="200"/>
      <c r="E42" s="201"/>
      <c r="F42" s="201"/>
      <c r="G42" s="224">
        <f t="shared" si="5"/>
        <v>0</v>
      </c>
      <c r="H42" s="225">
        <f t="shared" si="6"/>
        <v>0</v>
      </c>
      <c r="I42" s="226">
        <f t="shared" si="7"/>
        <v>0</v>
      </c>
      <c r="J42" s="227">
        <f t="shared" si="4"/>
        <v>0</v>
      </c>
      <c r="K42" s="99"/>
      <c r="L42" s="99"/>
      <c r="M42" s="99"/>
      <c r="N42" s="99"/>
      <c r="O42" s="99"/>
      <c r="P42" s="99"/>
      <c r="Q42" s="99"/>
      <c r="R42" s="99"/>
      <c r="S42" s="99"/>
      <c r="T42" s="99"/>
      <c r="U42" s="99"/>
    </row>
    <row r="43" spans="1:21" x14ac:dyDescent="0.2">
      <c r="A43" s="495"/>
      <c r="B43" s="496"/>
      <c r="C43" s="497"/>
      <c r="D43" s="200"/>
      <c r="E43" s="201"/>
      <c r="F43" s="201"/>
      <c r="G43" s="224">
        <f t="shared" si="5"/>
        <v>0</v>
      </c>
      <c r="H43" s="225">
        <f t="shared" si="6"/>
        <v>0</v>
      </c>
      <c r="I43" s="226">
        <f t="shared" si="7"/>
        <v>0</v>
      </c>
      <c r="J43" s="227">
        <f t="shared" si="4"/>
        <v>0</v>
      </c>
      <c r="K43" s="99"/>
      <c r="L43" s="99"/>
      <c r="M43" s="99"/>
      <c r="N43" s="99"/>
      <c r="O43" s="99"/>
      <c r="P43" s="99"/>
      <c r="Q43" s="99"/>
      <c r="R43" s="99"/>
      <c r="S43" s="99"/>
      <c r="T43" s="99"/>
      <c r="U43" s="99"/>
    </row>
    <row r="44" spans="1:21" x14ac:dyDescent="0.2">
      <c r="A44" s="495"/>
      <c r="B44" s="496"/>
      <c r="C44" s="497"/>
      <c r="D44" s="200"/>
      <c r="E44" s="201"/>
      <c r="F44" s="201"/>
      <c r="G44" s="224">
        <f t="shared" si="5"/>
        <v>0</v>
      </c>
      <c r="H44" s="225">
        <f t="shared" si="6"/>
        <v>0</v>
      </c>
      <c r="I44" s="226">
        <f t="shared" si="7"/>
        <v>0</v>
      </c>
      <c r="J44" s="227">
        <f t="shared" si="4"/>
        <v>0</v>
      </c>
      <c r="K44" s="99"/>
      <c r="L44" s="99"/>
      <c r="M44" s="99"/>
      <c r="N44" s="99"/>
      <c r="O44" s="99"/>
      <c r="P44" s="99"/>
      <c r="Q44" s="99"/>
      <c r="R44" s="99"/>
      <c r="S44" s="99"/>
      <c r="T44" s="99"/>
      <c r="U44" s="99"/>
    </row>
    <row r="45" spans="1:21" x14ac:dyDescent="0.2">
      <c r="A45" s="495"/>
      <c r="B45" s="496"/>
      <c r="C45" s="497"/>
      <c r="D45" s="200"/>
      <c r="E45" s="201"/>
      <c r="F45" s="201"/>
      <c r="G45" s="224">
        <f t="shared" si="5"/>
        <v>0</v>
      </c>
      <c r="H45" s="225">
        <f t="shared" si="6"/>
        <v>0</v>
      </c>
      <c r="I45" s="226">
        <f t="shared" si="7"/>
        <v>0</v>
      </c>
      <c r="J45" s="227">
        <f t="shared" si="4"/>
        <v>0</v>
      </c>
      <c r="K45" s="99"/>
      <c r="L45" s="99"/>
      <c r="M45" s="99"/>
      <c r="N45" s="99"/>
      <c r="O45" s="99"/>
      <c r="P45" s="99"/>
      <c r="Q45" s="99"/>
      <c r="R45" s="99"/>
      <c r="S45" s="99"/>
      <c r="T45" s="99"/>
      <c r="U45" s="99"/>
    </row>
    <row r="46" spans="1:21" x14ac:dyDescent="0.2">
      <c r="A46" s="495"/>
      <c r="B46" s="496"/>
      <c r="C46" s="497"/>
      <c r="D46" s="200"/>
      <c r="E46" s="201"/>
      <c r="F46" s="201"/>
      <c r="G46" s="224">
        <f t="shared" si="5"/>
        <v>0</v>
      </c>
      <c r="H46" s="225">
        <f t="shared" si="6"/>
        <v>0</v>
      </c>
      <c r="I46" s="226">
        <f t="shared" si="7"/>
        <v>0</v>
      </c>
      <c r="J46" s="227">
        <f t="shared" si="4"/>
        <v>0</v>
      </c>
      <c r="K46" s="99"/>
      <c r="L46" s="99"/>
      <c r="M46" s="99"/>
      <c r="N46" s="99"/>
      <c r="O46" s="99"/>
      <c r="P46" s="99"/>
      <c r="Q46" s="99"/>
      <c r="R46" s="99"/>
      <c r="S46" s="99"/>
      <c r="T46" s="99"/>
      <c r="U46" s="99"/>
    </row>
    <row r="47" spans="1:21" x14ac:dyDescent="0.2">
      <c r="A47" s="495"/>
      <c r="B47" s="496"/>
      <c r="C47" s="497"/>
      <c r="D47" s="200"/>
      <c r="E47" s="201"/>
      <c r="F47" s="201"/>
      <c r="G47" s="224">
        <f t="shared" si="5"/>
        <v>0</v>
      </c>
      <c r="H47" s="225">
        <f t="shared" si="6"/>
        <v>0</v>
      </c>
      <c r="I47" s="226">
        <f t="shared" si="7"/>
        <v>0</v>
      </c>
      <c r="J47" s="227">
        <f t="shared" si="4"/>
        <v>0</v>
      </c>
      <c r="K47" s="99"/>
      <c r="L47" s="99"/>
      <c r="M47" s="99"/>
      <c r="N47" s="99"/>
      <c r="O47" s="99"/>
      <c r="P47" s="99"/>
      <c r="Q47" s="99"/>
      <c r="R47" s="99"/>
      <c r="S47" s="99"/>
      <c r="T47" s="99"/>
      <c r="U47" s="99"/>
    </row>
    <row r="48" spans="1:21" x14ac:dyDescent="0.2">
      <c r="A48" s="495"/>
      <c r="B48" s="496"/>
      <c r="C48" s="497"/>
      <c r="D48" s="200"/>
      <c r="E48" s="201"/>
      <c r="F48" s="201"/>
      <c r="G48" s="224">
        <f t="shared" si="5"/>
        <v>0</v>
      </c>
      <c r="H48" s="225">
        <f t="shared" si="6"/>
        <v>0</v>
      </c>
      <c r="I48" s="226">
        <f t="shared" si="7"/>
        <v>0</v>
      </c>
      <c r="J48" s="227">
        <f t="shared" si="4"/>
        <v>0</v>
      </c>
      <c r="K48" s="99"/>
      <c r="L48" s="99"/>
      <c r="M48" s="99"/>
      <c r="N48" s="99"/>
      <c r="O48" s="99"/>
      <c r="P48" s="99"/>
      <c r="Q48" s="99"/>
      <c r="R48" s="99"/>
      <c r="S48" s="99"/>
      <c r="T48" s="99"/>
      <c r="U48" s="99"/>
    </row>
    <row r="49" spans="1:21" x14ac:dyDescent="0.2">
      <c r="A49" s="495"/>
      <c r="B49" s="496"/>
      <c r="C49" s="497"/>
      <c r="D49" s="200"/>
      <c r="E49" s="201"/>
      <c r="F49" s="201"/>
      <c r="G49" s="224">
        <f t="shared" si="5"/>
        <v>0</v>
      </c>
      <c r="H49" s="225">
        <f t="shared" si="6"/>
        <v>0</v>
      </c>
      <c r="I49" s="226">
        <f t="shared" si="7"/>
        <v>0</v>
      </c>
      <c r="J49" s="227">
        <f t="shared" si="4"/>
        <v>0</v>
      </c>
      <c r="K49" s="99"/>
      <c r="L49" s="99"/>
      <c r="M49" s="99"/>
      <c r="N49" s="99"/>
      <c r="O49" s="99"/>
      <c r="P49" s="99"/>
      <c r="Q49" s="99"/>
      <c r="R49" s="99"/>
      <c r="S49" s="99"/>
      <c r="T49" s="99"/>
      <c r="U49" s="99"/>
    </row>
    <row r="50" spans="1:21" x14ac:dyDescent="0.2">
      <c r="A50" s="495"/>
      <c r="B50" s="496"/>
      <c r="C50" s="497"/>
      <c r="D50" s="202"/>
      <c r="E50" s="201"/>
      <c r="F50" s="201"/>
      <c r="G50" s="224">
        <f t="shared" si="5"/>
        <v>0</v>
      </c>
      <c r="H50" s="225">
        <f t="shared" si="6"/>
        <v>0</v>
      </c>
      <c r="I50" s="226">
        <f t="shared" si="7"/>
        <v>0</v>
      </c>
      <c r="J50" s="227">
        <f t="shared" ref="J50:J101" si="8">F50/0.3788</f>
        <v>0</v>
      </c>
      <c r="K50" s="99"/>
      <c r="L50" s="99"/>
      <c r="M50" s="99"/>
      <c r="N50" s="99"/>
      <c r="O50" s="99"/>
      <c r="P50" s="99"/>
      <c r="Q50" s="99"/>
      <c r="R50" s="99"/>
      <c r="S50" s="99"/>
      <c r="T50" s="99"/>
      <c r="U50" s="99"/>
    </row>
    <row r="51" spans="1:21" x14ac:dyDescent="0.2">
      <c r="A51" s="495"/>
      <c r="B51" s="496"/>
      <c r="C51" s="497"/>
      <c r="D51" s="202"/>
      <c r="E51" s="201"/>
      <c r="F51" s="201"/>
      <c r="G51" s="224">
        <f t="shared" si="5"/>
        <v>0</v>
      </c>
      <c r="H51" s="225">
        <f t="shared" si="6"/>
        <v>0</v>
      </c>
      <c r="I51" s="226">
        <f t="shared" si="7"/>
        <v>0</v>
      </c>
      <c r="J51" s="227">
        <f t="shared" si="8"/>
        <v>0</v>
      </c>
      <c r="K51" s="99"/>
      <c r="L51" s="99"/>
      <c r="M51" s="99"/>
      <c r="N51" s="99"/>
      <c r="O51" s="99"/>
      <c r="P51" s="99"/>
      <c r="Q51" s="99"/>
      <c r="R51" s="99"/>
      <c r="S51" s="99"/>
      <c r="T51" s="99"/>
      <c r="U51" s="99"/>
    </row>
    <row r="52" spans="1:21" x14ac:dyDescent="0.2">
      <c r="A52" s="495"/>
      <c r="B52" s="496"/>
      <c r="C52" s="497"/>
      <c r="D52" s="202"/>
      <c r="E52" s="201"/>
      <c r="F52" s="201"/>
      <c r="G52" s="224">
        <f t="shared" si="5"/>
        <v>0</v>
      </c>
      <c r="H52" s="225">
        <f t="shared" si="6"/>
        <v>0</v>
      </c>
      <c r="I52" s="226">
        <f t="shared" si="7"/>
        <v>0</v>
      </c>
      <c r="J52" s="227">
        <f t="shared" si="8"/>
        <v>0</v>
      </c>
      <c r="K52" s="99"/>
      <c r="L52" s="99"/>
      <c r="M52" s="99"/>
      <c r="N52" s="99"/>
      <c r="O52" s="99"/>
      <c r="P52" s="99"/>
      <c r="Q52" s="99"/>
      <c r="R52" s="99"/>
      <c r="S52" s="99"/>
      <c r="T52" s="99"/>
      <c r="U52" s="99"/>
    </row>
    <row r="53" spans="1:21" x14ac:dyDescent="0.2">
      <c r="A53" s="495"/>
      <c r="B53" s="496"/>
      <c r="C53" s="497"/>
      <c r="D53" s="202"/>
      <c r="E53" s="201"/>
      <c r="F53" s="201"/>
      <c r="G53" s="224">
        <f t="shared" si="5"/>
        <v>0</v>
      </c>
      <c r="H53" s="225">
        <f t="shared" si="6"/>
        <v>0</v>
      </c>
      <c r="I53" s="226">
        <f t="shared" si="7"/>
        <v>0</v>
      </c>
      <c r="J53" s="227">
        <f t="shared" si="8"/>
        <v>0</v>
      </c>
      <c r="K53" s="99"/>
      <c r="L53" s="99"/>
      <c r="M53" s="99"/>
      <c r="N53" s="99"/>
      <c r="O53" s="99"/>
      <c r="P53" s="99"/>
      <c r="Q53" s="99"/>
      <c r="R53" s="99"/>
      <c r="S53" s="99"/>
      <c r="T53" s="99"/>
      <c r="U53" s="99"/>
    </row>
    <row r="54" spans="1:21" x14ac:dyDescent="0.2">
      <c r="A54" s="495"/>
      <c r="B54" s="496"/>
      <c r="C54" s="497"/>
      <c r="D54" s="202"/>
      <c r="E54" s="201"/>
      <c r="F54" s="201"/>
      <c r="G54" s="224">
        <f t="shared" si="5"/>
        <v>0</v>
      </c>
      <c r="H54" s="225">
        <f t="shared" si="6"/>
        <v>0</v>
      </c>
      <c r="I54" s="226">
        <f t="shared" si="7"/>
        <v>0</v>
      </c>
      <c r="J54" s="227">
        <f t="shared" si="8"/>
        <v>0</v>
      </c>
      <c r="K54" s="99"/>
      <c r="L54" s="99"/>
      <c r="M54" s="99"/>
      <c r="N54" s="99"/>
      <c r="O54" s="99"/>
      <c r="P54" s="99"/>
      <c r="Q54" s="99"/>
      <c r="R54" s="99"/>
      <c r="S54" s="99"/>
      <c r="T54" s="99"/>
      <c r="U54" s="99"/>
    </row>
    <row r="55" spans="1:21" x14ac:dyDescent="0.2">
      <c r="A55" s="495"/>
      <c r="B55" s="496"/>
      <c r="C55" s="497"/>
      <c r="D55" s="202"/>
      <c r="E55" s="201"/>
      <c r="F55" s="201"/>
      <c r="G55" s="224">
        <f t="shared" si="5"/>
        <v>0</v>
      </c>
      <c r="H55" s="225">
        <f t="shared" si="6"/>
        <v>0</v>
      </c>
      <c r="I55" s="226">
        <f t="shared" si="7"/>
        <v>0</v>
      </c>
      <c r="J55" s="227">
        <f t="shared" si="8"/>
        <v>0</v>
      </c>
      <c r="K55" s="99"/>
      <c r="L55" s="99"/>
      <c r="M55" s="99"/>
      <c r="N55" s="99"/>
      <c r="O55" s="99"/>
      <c r="P55" s="99"/>
      <c r="Q55" s="99"/>
      <c r="R55" s="99"/>
      <c r="S55" s="99"/>
      <c r="T55" s="99"/>
      <c r="U55" s="99"/>
    </row>
    <row r="56" spans="1:21" x14ac:dyDescent="0.2">
      <c r="A56" s="495"/>
      <c r="B56" s="496"/>
      <c r="C56" s="497"/>
      <c r="D56" s="202"/>
      <c r="E56" s="201"/>
      <c r="F56" s="201"/>
      <c r="G56" s="224">
        <f t="shared" si="5"/>
        <v>0</v>
      </c>
      <c r="H56" s="225">
        <f t="shared" si="6"/>
        <v>0</v>
      </c>
      <c r="I56" s="226">
        <f t="shared" si="7"/>
        <v>0</v>
      </c>
      <c r="J56" s="227">
        <f t="shared" si="8"/>
        <v>0</v>
      </c>
      <c r="K56" s="99"/>
      <c r="L56" s="99"/>
      <c r="M56" s="99"/>
      <c r="N56" s="99"/>
      <c r="O56" s="99"/>
      <c r="P56" s="99"/>
      <c r="Q56" s="99"/>
      <c r="R56" s="99"/>
      <c r="S56" s="99"/>
      <c r="T56" s="99"/>
      <c r="U56" s="99"/>
    </row>
    <row r="57" spans="1:21" x14ac:dyDescent="0.2">
      <c r="A57" s="495"/>
      <c r="B57" s="496"/>
      <c r="C57" s="497"/>
      <c r="D57" s="202"/>
      <c r="E57" s="201"/>
      <c r="F57" s="201"/>
      <c r="G57" s="224">
        <f t="shared" si="5"/>
        <v>0</v>
      </c>
      <c r="H57" s="225">
        <f t="shared" si="6"/>
        <v>0</v>
      </c>
      <c r="I57" s="226">
        <f t="shared" si="7"/>
        <v>0</v>
      </c>
      <c r="J57" s="227">
        <f t="shared" si="8"/>
        <v>0</v>
      </c>
      <c r="K57" s="99"/>
      <c r="L57" s="99"/>
      <c r="M57" s="99"/>
      <c r="N57" s="99"/>
      <c r="O57" s="99"/>
      <c r="P57" s="99"/>
      <c r="Q57" s="99"/>
      <c r="R57" s="99"/>
      <c r="S57" s="99"/>
      <c r="T57" s="99"/>
      <c r="U57" s="99"/>
    </row>
    <row r="58" spans="1:21" x14ac:dyDescent="0.2">
      <c r="A58" s="495"/>
      <c r="B58" s="496"/>
      <c r="C58" s="497"/>
      <c r="D58" s="202"/>
      <c r="E58" s="201"/>
      <c r="F58" s="201"/>
      <c r="G58" s="224">
        <f t="shared" si="5"/>
        <v>0</v>
      </c>
      <c r="H58" s="225">
        <f t="shared" si="6"/>
        <v>0</v>
      </c>
      <c r="I58" s="226">
        <f t="shared" si="7"/>
        <v>0</v>
      </c>
      <c r="J58" s="227">
        <f t="shared" si="8"/>
        <v>0</v>
      </c>
      <c r="K58" s="99"/>
      <c r="L58" s="99"/>
      <c r="M58" s="99"/>
      <c r="N58" s="99"/>
      <c r="O58" s="99"/>
      <c r="P58" s="99"/>
      <c r="Q58" s="99"/>
      <c r="R58" s="99"/>
      <c r="S58" s="99"/>
      <c r="T58" s="99"/>
      <c r="U58" s="99"/>
    </row>
    <row r="59" spans="1:21" x14ac:dyDescent="0.2">
      <c r="A59" s="495"/>
      <c r="B59" s="496"/>
      <c r="C59" s="497"/>
      <c r="D59" s="202"/>
      <c r="E59" s="201"/>
      <c r="F59" s="201"/>
      <c r="G59" s="224">
        <f t="shared" si="5"/>
        <v>0</v>
      </c>
      <c r="H59" s="225">
        <f t="shared" si="6"/>
        <v>0</v>
      </c>
      <c r="I59" s="226">
        <f t="shared" si="7"/>
        <v>0</v>
      </c>
      <c r="J59" s="227">
        <f t="shared" si="8"/>
        <v>0</v>
      </c>
      <c r="K59" s="99"/>
      <c r="L59" s="99"/>
      <c r="M59" s="99"/>
      <c r="N59" s="99"/>
      <c r="O59" s="99"/>
      <c r="P59" s="99"/>
      <c r="Q59" s="99"/>
      <c r="R59" s="99"/>
      <c r="S59" s="99"/>
      <c r="T59" s="99"/>
      <c r="U59" s="99"/>
    </row>
    <row r="60" spans="1:21" x14ac:dyDescent="0.2">
      <c r="A60" s="495"/>
      <c r="B60" s="496"/>
      <c r="C60" s="497"/>
      <c r="D60" s="202"/>
      <c r="E60" s="201"/>
      <c r="F60" s="201"/>
      <c r="G60" s="224">
        <f t="shared" si="5"/>
        <v>0</v>
      </c>
      <c r="H60" s="225">
        <f t="shared" si="6"/>
        <v>0</v>
      </c>
      <c r="I60" s="226">
        <f t="shared" si="7"/>
        <v>0</v>
      </c>
      <c r="J60" s="227">
        <f t="shared" si="8"/>
        <v>0</v>
      </c>
      <c r="K60" s="99"/>
      <c r="L60" s="99"/>
      <c r="M60" s="99"/>
      <c r="N60" s="99"/>
      <c r="O60" s="99"/>
      <c r="P60" s="99"/>
      <c r="Q60" s="99"/>
      <c r="R60" s="99"/>
      <c r="S60" s="99"/>
      <c r="T60" s="99"/>
      <c r="U60" s="99"/>
    </row>
    <row r="61" spans="1:21" x14ac:dyDescent="0.2">
      <c r="A61" s="495"/>
      <c r="B61" s="496"/>
      <c r="C61" s="497"/>
      <c r="D61" s="202"/>
      <c r="E61" s="201"/>
      <c r="F61" s="201"/>
      <c r="G61" s="224">
        <f t="shared" si="5"/>
        <v>0</v>
      </c>
      <c r="H61" s="225">
        <f t="shared" si="6"/>
        <v>0</v>
      </c>
      <c r="I61" s="226">
        <f t="shared" si="7"/>
        <v>0</v>
      </c>
      <c r="J61" s="227">
        <f t="shared" si="8"/>
        <v>0</v>
      </c>
      <c r="K61" s="99"/>
      <c r="L61" s="99"/>
      <c r="M61" s="99"/>
      <c r="N61" s="99"/>
      <c r="O61" s="99"/>
      <c r="P61" s="99"/>
      <c r="Q61" s="99"/>
      <c r="R61" s="99"/>
      <c r="S61" s="99"/>
      <c r="T61" s="99"/>
      <c r="U61" s="99"/>
    </row>
    <row r="62" spans="1:21" x14ac:dyDescent="0.2">
      <c r="A62" s="495"/>
      <c r="B62" s="496"/>
      <c r="C62" s="497"/>
      <c r="D62" s="202"/>
      <c r="E62" s="201"/>
      <c r="F62" s="201"/>
      <c r="G62" s="224">
        <f t="shared" si="5"/>
        <v>0</v>
      </c>
      <c r="H62" s="225">
        <f t="shared" si="6"/>
        <v>0</v>
      </c>
      <c r="I62" s="226">
        <f t="shared" si="7"/>
        <v>0</v>
      </c>
      <c r="J62" s="227">
        <f t="shared" si="8"/>
        <v>0</v>
      </c>
      <c r="K62" s="99"/>
      <c r="L62" s="99"/>
      <c r="M62" s="99"/>
      <c r="N62" s="99"/>
      <c r="O62" s="99"/>
      <c r="P62" s="99"/>
      <c r="Q62" s="99"/>
      <c r="R62" s="99"/>
      <c r="S62" s="99"/>
      <c r="T62" s="99"/>
      <c r="U62" s="99"/>
    </row>
    <row r="63" spans="1:21" x14ac:dyDescent="0.2">
      <c r="A63" s="495"/>
      <c r="B63" s="496"/>
      <c r="C63" s="497"/>
      <c r="D63" s="202"/>
      <c r="E63" s="201"/>
      <c r="F63" s="201"/>
      <c r="G63" s="224">
        <f t="shared" si="5"/>
        <v>0</v>
      </c>
      <c r="H63" s="225">
        <f t="shared" si="6"/>
        <v>0</v>
      </c>
      <c r="I63" s="226">
        <f t="shared" si="7"/>
        <v>0</v>
      </c>
      <c r="J63" s="227">
        <f t="shared" si="8"/>
        <v>0</v>
      </c>
      <c r="K63" s="99"/>
      <c r="L63" s="99"/>
      <c r="M63" s="99"/>
      <c r="N63" s="99"/>
      <c r="O63" s="99"/>
      <c r="P63" s="99"/>
      <c r="Q63" s="99"/>
      <c r="R63" s="99"/>
      <c r="S63" s="99"/>
      <c r="T63" s="99"/>
      <c r="U63" s="99"/>
    </row>
    <row r="64" spans="1:21" x14ac:dyDescent="0.2">
      <c r="A64" s="495"/>
      <c r="B64" s="496"/>
      <c r="C64" s="497"/>
      <c r="D64" s="202"/>
      <c r="E64" s="201"/>
      <c r="F64" s="201"/>
      <c r="G64" s="224">
        <f t="shared" si="5"/>
        <v>0</v>
      </c>
      <c r="H64" s="225">
        <f t="shared" si="6"/>
        <v>0</v>
      </c>
      <c r="I64" s="226">
        <f t="shared" si="7"/>
        <v>0</v>
      </c>
      <c r="J64" s="227">
        <f t="shared" si="8"/>
        <v>0</v>
      </c>
      <c r="K64" s="99"/>
      <c r="L64" s="99"/>
      <c r="M64" s="99"/>
      <c r="N64" s="99"/>
      <c r="O64" s="99"/>
      <c r="P64" s="99"/>
      <c r="Q64" s="99"/>
      <c r="R64" s="99"/>
      <c r="S64" s="99"/>
      <c r="T64" s="99"/>
      <c r="U64" s="99"/>
    </row>
    <row r="65" spans="1:21" x14ac:dyDescent="0.2">
      <c r="A65" s="495"/>
      <c r="B65" s="496"/>
      <c r="C65" s="497"/>
      <c r="D65" s="202"/>
      <c r="E65" s="201"/>
      <c r="F65" s="201"/>
      <c r="G65" s="224">
        <f t="shared" si="5"/>
        <v>0</v>
      </c>
      <c r="H65" s="225">
        <f t="shared" si="6"/>
        <v>0</v>
      </c>
      <c r="I65" s="226">
        <f t="shared" si="7"/>
        <v>0</v>
      </c>
      <c r="J65" s="227">
        <f t="shared" si="8"/>
        <v>0</v>
      </c>
      <c r="K65" s="99"/>
      <c r="L65" s="99"/>
      <c r="M65" s="99"/>
      <c r="N65" s="99"/>
      <c r="O65" s="99"/>
      <c r="P65" s="99"/>
      <c r="Q65" s="99"/>
      <c r="R65" s="99"/>
      <c r="S65" s="99"/>
      <c r="T65" s="99"/>
      <c r="U65" s="99"/>
    </row>
    <row r="66" spans="1:21" x14ac:dyDescent="0.2">
      <c r="A66" s="495"/>
      <c r="B66" s="496"/>
      <c r="C66" s="497"/>
      <c r="D66" s="202"/>
      <c r="E66" s="201"/>
      <c r="F66" s="201"/>
      <c r="G66" s="224">
        <f t="shared" ref="G66:G97" si="9">IF(E66=0,0,IF(F66/E66&gt;0.38,SQRT(((E66*E66)+(F66*F66))/0.4),SQRT((E66*E66)+(F66*F66))))</f>
        <v>0</v>
      </c>
      <c r="H66" s="225">
        <f t="shared" ref="H66:H97" si="10" xml:space="preserve"> IF(B66&gt;65,66537/(-0.02152*G66+229.719)*(0.0085*B66+0.4552),66537/(-0.02152*G66+229.719))*D66</f>
        <v>0</v>
      </c>
      <c r="I66" s="226">
        <f t="shared" ref="I66:I97" si="11">IF(C66="no",H66,H66*1.1)</f>
        <v>0</v>
      </c>
      <c r="J66" s="227">
        <f t="shared" si="8"/>
        <v>0</v>
      </c>
      <c r="K66" s="99"/>
      <c r="L66" s="99"/>
      <c r="M66" s="99"/>
      <c r="N66" s="99"/>
      <c r="O66" s="99"/>
      <c r="P66" s="99"/>
      <c r="Q66" s="99"/>
      <c r="R66" s="99"/>
      <c r="S66" s="99"/>
      <c r="T66" s="99"/>
      <c r="U66" s="99"/>
    </row>
    <row r="67" spans="1:21" x14ac:dyDescent="0.2">
      <c r="A67" s="495"/>
      <c r="B67" s="496"/>
      <c r="C67" s="497"/>
      <c r="D67" s="202"/>
      <c r="E67" s="201"/>
      <c r="F67" s="201"/>
      <c r="G67" s="224">
        <f t="shared" si="9"/>
        <v>0</v>
      </c>
      <c r="H67" s="225">
        <f t="shared" si="10"/>
        <v>0</v>
      </c>
      <c r="I67" s="226">
        <f t="shared" si="11"/>
        <v>0</v>
      </c>
      <c r="J67" s="227">
        <f t="shared" si="8"/>
        <v>0</v>
      </c>
      <c r="K67" s="99"/>
      <c r="L67" s="99"/>
      <c r="M67" s="99"/>
      <c r="N67" s="99"/>
      <c r="O67" s="99"/>
      <c r="P67" s="99"/>
      <c r="Q67" s="99"/>
      <c r="R67" s="99"/>
      <c r="S67" s="99"/>
      <c r="T67" s="99"/>
      <c r="U67" s="99"/>
    </row>
    <row r="68" spans="1:21" x14ac:dyDescent="0.2">
      <c r="A68" s="495"/>
      <c r="B68" s="496"/>
      <c r="C68" s="497"/>
      <c r="D68" s="202"/>
      <c r="E68" s="201"/>
      <c r="F68" s="201"/>
      <c r="G68" s="224">
        <f t="shared" si="9"/>
        <v>0</v>
      </c>
      <c r="H68" s="225">
        <f t="shared" si="10"/>
        <v>0</v>
      </c>
      <c r="I68" s="226">
        <f t="shared" si="11"/>
        <v>0</v>
      </c>
      <c r="J68" s="227">
        <f t="shared" si="8"/>
        <v>0</v>
      </c>
      <c r="K68" s="99"/>
      <c r="L68" s="99"/>
      <c r="M68" s="99"/>
      <c r="N68" s="99"/>
      <c r="O68" s="99"/>
      <c r="P68" s="99"/>
      <c r="Q68" s="99"/>
      <c r="R68" s="99"/>
      <c r="S68" s="99"/>
      <c r="T68" s="99"/>
      <c r="U68" s="99"/>
    </row>
    <row r="69" spans="1:21" x14ac:dyDescent="0.2">
      <c r="A69" s="495"/>
      <c r="B69" s="496"/>
      <c r="C69" s="497"/>
      <c r="D69" s="202"/>
      <c r="E69" s="201"/>
      <c r="F69" s="201"/>
      <c r="G69" s="224">
        <f t="shared" si="9"/>
        <v>0</v>
      </c>
      <c r="H69" s="225">
        <f t="shared" si="10"/>
        <v>0</v>
      </c>
      <c r="I69" s="226">
        <f t="shared" si="11"/>
        <v>0</v>
      </c>
      <c r="J69" s="227">
        <f t="shared" si="8"/>
        <v>0</v>
      </c>
      <c r="K69" s="99"/>
      <c r="L69" s="99"/>
      <c r="M69" s="99"/>
      <c r="N69" s="99"/>
      <c r="O69" s="99"/>
      <c r="P69" s="99"/>
      <c r="Q69" s="99"/>
      <c r="R69" s="99"/>
      <c r="S69" s="99"/>
      <c r="T69" s="99"/>
      <c r="U69" s="99"/>
    </row>
    <row r="70" spans="1:21" x14ac:dyDescent="0.2">
      <c r="A70" s="495"/>
      <c r="B70" s="496"/>
      <c r="C70" s="497"/>
      <c r="D70" s="202"/>
      <c r="E70" s="201"/>
      <c r="F70" s="201"/>
      <c r="G70" s="224">
        <f t="shared" si="9"/>
        <v>0</v>
      </c>
      <c r="H70" s="225">
        <f t="shared" si="10"/>
        <v>0</v>
      </c>
      <c r="I70" s="226">
        <f t="shared" si="11"/>
        <v>0</v>
      </c>
      <c r="J70" s="227">
        <f t="shared" si="8"/>
        <v>0</v>
      </c>
      <c r="K70" s="99"/>
      <c r="L70" s="99"/>
      <c r="M70" s="99"/>
      <c r="N70" s="99"/>
      <c r="O70" s="99"/>
      <c r="P70" s="99"/>
      <c r="Q70" s="99"/>
      <c r="R70" s="99"/>
      <c r="S70" s="99"/>
      <c r="T70" s="99"/>
      <c r="U70" s="99"/>
    </row>
    <row r="71" spans="1:21" x14ac:dyDescent="0.2">
      <c r="A71" s="495"/>
      <c r="B71" s="496"/>
      <c r="C71" s="497"/>
      <c r="D71" s="202"/>
      <c r="E71" s="201"/>
      <c r="F71" s="201"/>
      <c r="G71" s="224">
        <f t="shared" si="9"/>
        <v>0</v>
      </c>
      <c r="H71" s="225">
        <f t="shared" si="10"/>
        <v>0</v>
      </c>
      <c r="I71" s="226">
        <f t="shared" si="11"/>
        <v>0</v>
      </c>
      <c r="J71" s="227">
        <f t="shared" si="8"/>
        <v>0</v>
      </c>
      <c r="K71" s="99"/>
      <c r="L71" s="99"/>
      <c r="M71" s="99"/>
      <c r="N71" s="99"/>
      <c r="O71" s="99"/>
      <c r="P71" s="99"/>
      <c r="Q71" s="99"/>
      <c r="R71" s="99"/>
      <c r="S71" s="99"/>
      <c r="T71" s="99"/>
      <c r="U71" s="99"/>
    </row>
    <row r="72" spans="1:21" x14ac:dyDescent="0.2">
      <c r="A72" s="495"/>
      <c r="B72" s="496"/>
      <c r="C72" s="497"/>
      <c r="D72" s="202"/>
      <c r="E72" s="201"/>
      <c r="F72" s="201"/>
      <c r="G72" s="224">
        <f t="shared" si="9"/>
        <v>0</v>
      </c>
      <c r="H72" s="225">
        <f t="shared" si="10"/>
        <v>0</v>
      </c>
      <c r="I72" s="226">
        <f t="shared" si="11"/>
        <v>0</v>
      </c>
      <c r="J72" s="227">
        <f t="shared" si="8"/>
        <v>0</v>
      </c>
      <c r="K72" s="99"/>
      <c r="L72" s="99"/>
      <c r="M72" s="99"/>
      <c r="N72" s="99"/>
      <c r="O72" s="99"/>
      <c r="P72" s="99"/>
      <c r="Q72" s="99"/>
      <c r="R72" s="99"/>
      <c r="S72" s="99"/>
      <c r="T72" s="99"/>
      <c r="U72" s="99"/>
    </row>
    <row r="73" spans="1:21" x14ac:dyDescent="0.2">
      <c r="A73" s="495"/>
      <c r="B73" s="496"/>
      <c r="C73" s="497"/>
      <c r="D73" s="202"/>
      <c r="E73" s="201"/>
      <c r="F73" s="201"/>
      <c r="G73" s="224">
        <f t="shared" si="9"/>
        <v>0</v>
      </c>
      <c r="H73" s="225">
        <f t="shared" si="10"/>
        <v>0</v>
      </c>
      <c r="I73" s="226">
        <f t="shared" si="11"/>
        <v>0</v>
      </c>
      <c r="J73" s="227">
        <f t="shared" si="8"/>
        <v>0</v>
      </c>
      <c r="K73" s="99"/>
      <c r="L73" s="99"/>
      <c r="M73" s="99"/>
      <c r="N73" s="99"/>
      <c r="O73" s="99"/>
      <c r="P73" s="99"/>
      <c r="Q73" s="99"/>
      <c r="R73" s="99"/>
      <c r="S73" s="99"/>
      <c r="T73" s="99"/>
      <c r="U73" s="99"/>
    </row>
    <row r="74" spans="1:21" x14ac:dyDescent="0.2">
      <c r="A74" s="495"/>
      <c r="B74" s="496"/>
      <c r="C74" s="497"/>
      <c r="D74" s="202"/>
      <c r="E74" s="201"/>
      <c r="F74" s="201"/>
      <c r="G74" s="224">
        <f t="shared" si="9"/>
        <v>0</v>
      </c>
      <c r="H74" s="225">
        <f t="shared" si="10"/>
        <v>0</v>
      </c>
      <c r="I74" s="226">
        <f t="shared" si="11"/>
        <v>0</v>
      </c>
      <c r="J74" s="227">
        <f t="shared" si="8"/>
        <v>0</v>
      </c>
      <c r="K74" s="99"/>
      <c r="L74" s="99"/>
      <c r="M74" s="99"/>
      <c r="N74" s="99"/>
      <c r="O74" s="99"/>
      <c r="P74" s="99"/>
      <c r="Q74" s="99"/>
      <c r="R74" s="99"/>
      <c r="S74" s="99"/>
      <c r="T74" s="99"/>
      <c r="U74" s="99"/>
    </row>
    <row r="75" spans="1:21" x14ac:dyDescent="0.2">
      <c r="A75" s="495"/>
      <c r="B75" s="496"/>
      <c r="C75" s="497"/>
      <c r="D75" s="202"/>
      <c r="E75" s="201"/>
      <c r="F75" s="201"/>
      <c r="G75" s="224">
        <f t="shared" si="9"/>
        <v>0</v>
      </c>
      <c r="H75" s="225">
        <f t="shared" si="10"/>
        <v>0</v>
      </c>
      <c r="I75" s="226">
        <f t="shared" si="11"/>
        <v>0</v>
      </c>
      <c r="J75" s="227">
        <f t="shared" si="8"/>
        <v>0</v>
      </c>
      <c r="K75" s="99"/>
      <c r="L75" s="99"/>
      <c r="M75" s="99"/>
      <c r="N75" s="99"/>
      <c r="O75" s="99"/>
      <c r="P75" s="99"/>
      <c r="Q75" s="99"/>
      <c r="R75" s="99"/>
      <c r="S75" s="99"/>
      <c r="T75" s="99"/>
      <c r="U75" s="99"/>
    </row>
    <row r="76" spans="1:21" x14ac:dyDescent="0.2">
      <c r="A76" s="495"/>
      <c r="B76" s="496"/>
      <c r="C76" s="497"/>
      <c r="D76" s="202"/>
      <c r="E76" s="201"/>
      <c r="F76" s="201"/>
      <c r="G76" s="224">
        <f t="shared" si="9"/>
        <v>0</v>
      </c>
      <c r="H76" s="225">
        <f t="shared" si="10"/>
        <v>0</v>
      </c>
      <c r="I76" s="226">
        <f t="shared" si="11"/>
        <v>0</v>
      </c>
      <c r="J76" s="227">
        <f t="shared" si="8"/>
        <v>0</v>
      </c>
      <c r="K76" s="99"/>
      <c r="L76" s="99"/>
      <c r="M76" s="99"/>
      <c r="N76" s="99"/>
      <c r="O76" s="99"/>
      <c r="P76" s="99"/>
      <c r="Q76" s="99"/>
      <c r="R76" s="99"/>
      <c r="S76" s="99"/>
      <c r="T76" s="99"/>
      <c r="U76" s="99"/>
    </row>
    <row r="77" spans="1:21" x14ac:dyDescent="0.2">
      <c r="A77" s="495"/>
      <c r="B77" s="496"/>
      <c r="C77" s="497"/>
      <c r="D77" s="202"/>
      <c r="E77" s="201"/>
      <c r="F77" s="201"/>
      <c r="G77" s="224">
        <f t="shared" si="9"/>
        <v>0</v>
      </c>
      <c r="H77" s="225">
        <f t="shared" si="10"/>
        <v>0</v>
      </c>
      <c r="I77" s="226">
        <f t="shared" si="11"/>
        <v>0</v>
      </c>
      <c r="J77" s="227">
        <f t="shared" si="8"/>
        <v>0</v>
      </c>
      <c r="K77" s="99"/>
      <c r="L77" s="99"/>
      <c r="M77" s="99"/>
      <c r="N77" s="99"/>
      <c r="O77" s="99"/>
      <c r="P77" s="99"/>
      <c r="Q77" s="99"/>
      <c r="R77" s="99"/>
      <c r="S77" s="99"/>
      <c r="T77" s="99"/>
      <c r="U77" s="99"/>
    </row>
    <row r="78" spans="1:21" x14ac:dyDescent="0.2">
      <c r="A78" s="495"/>
      <c r="B78" s="496"/>
      <c r="C78" s="497"/>
      <c r="D78" s="202"/>
      <c r="E78" s="201"/>
      <c r="F78" s="201"/>
      <c r="G78" s="224">
        <f t="shared" si="9"/>
        <v>0</v>
      </c>
      <c r="H78" s="225">
        <f t="shared" si="10"/>
        <v>0</v>
      </c>
      <c r="I78" s="226">
        <f t="shared" si="11"/>
        <v>0</v>
      </c>
      <c r="J78" s="227">
        <f t="shared" si="8"/>
        <v>0</v>
      </c>
      <c r="K78" s="99"/>
      <c r="L78" s="99"/>
      <c r="M78" s="99"/>
      <c r="N78" s="99"/>
      <c r="O78" s="99"/>
      <c r="P78" s="99"/>
      <c r="Q78" s="99"/>
      <c r="R78" s="99"/>
      <c r="S78" s="99"/>
      <c r="T78" s="99"/>
      <c r="U78" s="99"/>
    </row>
    <row r="79" spans="1:21" x14ac:dyDescent="0.2">
      <c r="A79" s="495"/>
      <c r="B79" s="496"/>
      <c r="C79" s="497"/>
      <c r="D79" s="202"/>
      <c r="E79" s="201"/>
      <c r="F79" s="201"/>
      <c r="G79" s="224">
        <f t="shared" si="9"/>
        <v>0</v>
      </c>
      <c r="H79" s="225">
        <f t="shared" si="10"/>
        <v>0</v>
      </c>
      <c r="I79" s="226">
        <f t="shared" si="11"/>
        <v>0</v>
      </c>
      <c r="J79" s="227">
        <f t="shared" si="8"/>
        <v>0</v>
      </c>
      <c r="K79" s="99"/>
      <c r="L79" s="99"/>
      <c r="M79" s="99"/>
      <c r="N79" s="99"/>
      <c r="O79" s="99"/>
      <c r="P79" s="99"/>
      <c r="Q79" s="99"/>
      <c r="R79" s="99"/>
      <c r="S79" s="99"/>
      <c r="T79" s="99"/>
      <c r="U79" s="99"/>
    </row>
    <row r="80" spans="1:21" x14ac:dyDescent="0.2">
      <c r="A80" s="495"/>
      <c r="B80" s="496"/>
      <c r="C80" s="497"/>
      <c r="D80" s="202"/>
      <c r="E80" s="201"/>
      <c r="F80" s="201"/>
      <c r="G80" s="224">
        <f t="shared" si="9"/>
        <v>0</v>
      </c>
      <c r="H80" s="225">
        <f t="shared" si="10"/>
        <v>0</v>
      </c>
      <c r="I80" s="226">
        <f t="shared" si="11"/>
        <v>0</v>
      </c>
      <c r="J80" s="227">
        <f t="shared" si="8"/>
        <v>0</v>
      </c>
      <c r="K80" s="99"/>
      <c r="L80" s="99"/>
      <c r="M80" s="99"/>
      <c r="N80" s="99"/>
      <c r="O80" s="99"/>
      <c r="P80" s="99"/>
      <c r="Q80" s="99"/>
      <c r="R80" s="99"/>
      <c r="S80" s="99"/>
      <c r="T80" s="99"/>
      <c r="U80" s="99"/>
    </row>
    <row r="81" spans="1:21" x14ac:dyDescent="0.2">
      <c r="A81" s="495"/>
      <c r="B81" s="496"/>
      <c r="C81" s="497"/>
      <c r="D81" s="202"/>
      <c r="E81" s="201"/>
      <c r="F81" s="201"/>
      <c r="G81" s="224">
        <f t="shared" si="9"/>
        <v>0</v>
      </c>
      <c r="H81" s="225">
        <f t="shared" si="10"/>
        <v>0</v>
      </c>
      <c r="I81" s="226">
        <f t="shared" si="11"/>
        <v>0</v>
      </c>
      <c r="J81" s="227">
        <f t="shared" si="8"/>
        <v>0</v>
      </c>
      <c r="K81" s="99"/>
      <c r="L81" s="99"/>
      <c r="M81" s="99"/>
      <c r="N81" s="99"/>
      <c r="O81" s="99"/>
      <c r="P81" s="99"/>
      <c r="Q81" s="99"/>
      <c r="R81" s="99"/>
      <c r="S81" s="99"/>
      <c r="T81" s="99"/>
      <c r="U81" s="99"/>
    </row>
    <row r="82" spans="1:21" x14ac:dyDescent="0.2">
      <c r="A82" s="495"/>
      <c r="B82" s="496"/>
      <c r="C82" s="497"/>
      <c r="D82" s="202"/>
      <c r="E82" s="201"/>
      <c r="F82" s="201"/>
      <c r="G82" s="224">
        <f t="shared" si="9"/>
        <v>0</v>
      </c>
      <c r="H82" s="225">
        <f t="shared" si="10"/>
        <v>0</v>
      </c>
      <c r="I82" s="226">
        <f t="shared" si="11"/>
        <v>0</v>
      </c>
      <c r="J82" s="227">
        <f t="shared" si="8"/>
        <v>0</v>
      </c>
      <c r="K82" s="99"/>
      <c r="L82" s="99"/>
      <c r="M82" s="99"/>
      <c r="N82" s="99"/>
      <c r="O82" s="99"/>
      <c r="P82" s="99"/>
      <c r="Q82" s="99"/>
      <c r="R82" s="99"/>
      <c r="S82" s="99"/>
      <c r="T82" s="99"/>
      <c r="U82" s="99"/>
    </row>
    <row r="83" spans="1:21" x14ac:dyDescent="0.2">
      <c r="A83" s="495"/>
      <c r="B83" s="496"/>
      <c r="C83" s="497"/>
      <c r="D83" s="202"/>
      <c r="E83" s="201"/>
      <c r="F83" s="201"/>
      <c r="G83" s="224">
        <f t="shared" si="9"/>
        <v>0</v>
      </c>
      <c r="H83" s="225">
        <f t="shared" si="10"/>
        <v>0</v>
      </c>
      <c r="I83" s="226">
        <f t="shared" si="11"/>
        <v>0</v>
      </c>
      <c r="J83" s="227">
        <f t="shared" si="8"/>
        <v>0</v>
      </c>
      <c r="K83" s="99"/>
      <c r="L83" s="99"/>
      <c r="M83" s="99"/>
      <c r="N83" s="99"/>
      <c r="O83" s="99"/>
      <c r="P83" s="99"/>
      <c r="Q83" s="99"/>
      <c r="R83" s="99"/>
      <c r="S83" s="99"/>
      <c r="T83" s="99"/>
      <c r="U83" s="99"/>
    </row>
    <row r="84" spans="1:21" x14ac:dyDescent="0.2">
      <c r="A84" s="495"/>
      <c r="B84" s="496"/>
      <c r="C84" s="497"/>
      <c r="D84" s="202"/>
      <c r="E84" s="201"/>
      <c r="F84" s="201"/>
      <c r="G84" s="224">
        <f t="shared" si="9"/>
        <v>0</v>
      </c>
      <c r="H84" s="225">
        <f t="shared" si="10"/>
        <v>0</v>
      </c>
      <c r="I84" s="226">
        <f t="shared" si="11"/>
        <v>0</v>
      </c>
      <c r="J84" s="227">
        <f t="shared" si="8"/>
        <v>0</v>
      </c>
      <c r="K84" s="99"/>
      <c r="L84" s="99"/>
      <c r="M84" s="99"/>
      <c r="N84" s="99"/>
      <c r="O84" s="99"/>
      <c r="P84" s="99"/>
      <c r="Q84" s="99"/>
      <c r="R84" s="99"/>
      <c r="S84" s="99"/>
      <c r="T84" s="99"/>
      <c r="U84" s="99"/>
    </row>
    <row r="85" spans="1:21" x14ac:dyDescent="0.2">
      <c r="A85" s="495"/>
      <c r="B85" s="496"/>
      <c r="C85" s="497"/>
      <c r="D85" s="202"/>
      <c r="E85" s="201"/>
      <c r="F85" s="201"/>
      <c r="G85" s="224">
        <f t="shared" si="9"/>
        <v>0</v>
      </c>
      <c r="H85" s="225">
        <f t="shared" si="10"/>
        <v>0</v>
      </c>
      <c r="I85" s="226">
        <f t="shared" si="11"/>
        <v>0</v>
      </c>
      <c r="J85" s="227">
        <f t="shared" si="8"/>
        <v>0</v>
      </c>
      <c r="K85" s="99"/>
      <c r="L85" s="99"/>
      <c r="M85" s="99"/>
      <c r="N85" s="99"/>
      <c r="O85" s="99"/>
      <c r="P85" s="99"/>
      <c r="Q85" s="99"/>
      <c r="R85" s="99"/>
      <c r="S85" s="99"/>
      <c r="T85" s="99"/>
      <c r="U85" s="99"/>
    </row>
    <row r="86" spans="1:21" x14ac:dyDescent="0.2">
      <c r="A86" s="495"/>
      <c r="B86" s="496"/>
      <c r="C86" s="497"/>
      <c r="D86" s="202"/>
      <c r="E86" s="201"/>
      <c r="F86" s="201"/>
      <c r="G86" s="224">
        <f t="shared" si="9"/>
        <v>0</v>
      </c>
      <c r="H86" s="225">
        <f t="shared" si="10"/>
        <v>0</v>
      </c>
      <c r="I86" s="226">
        <f t="shared" si="11"/>
        <v>0</v>
      </c>
      <c r="J86" s="227">
        <f t="shared" si="8"/>
        <v>0</v>
      </c>
      <c r="K86" s="99"/>
      <c r="L86" s="99"/>
      <c r="M86" s="99"/>
      <c r="N86" s="99"/>
      <c r="O86" s="99"/>
      <c r="P86" s="99"/>
      <c r="Q86" s="99"/>
      <c r="R86" s="99"/>
      <c r="S86" s="99"/>
      <c r="T86" s="99"/>
      <c r="U86" s="99"/>
    </row>
    <row r="87" spans="1:21" x14ac:dyDescent="0.2">
      <c r="A87" s="495"/>
      <c r="B87" s="496"/>
      <c r="C87" s="497"/>
      <c r="D87" s="202"/>
      <c r="E87" s="201"/>
      <c r="F87" s="201"/>
      <c r="G87" s="224">
        <f t="shared" si="9"/>
        <v>0</v>
      </c>
      <c r="H87" s="225">
        <f t="shared" si="10"/>
        <v>0</v>
      </c>
      <c r="I87" s="226">
        <f t="shared" si="11"/>
        <v>0</v>
      </c>
      <c r="J87" s="227">
        <f t="shared" si="8"/>
        <v>0</v>
      </c>
      <c r="K87" s="99"/>
      <c r="L87" s="99"/>
      <c r="M87" s="99"/>
      <c r="N87" s="99"/>
      <c r="O87" s="99"/>
      <c r="P87" s="99"/>
      <c r="Q87" s="99"/>
      <c r="R87" s="99"/>
      <c r="S87" s="99"/>
      <c r="T87" s="99"/>
      <c r="U87" s="99"/>
    </row>
    <row r="88" spans="1:21" x14ac:dyDescent="0.2">
      <c r="A88" s="495"/>
      <c r="B88" s="496"/>
      <c r="C88" s="497"/>
      <c r="D88" s="202"/>
      <c r="E88" s="201"/>
      <c r="F88" s="201"/>
      <c r="G88" s="224">
        <f t="shared" si="9"/>
        <v>0</v>
      </c>
      <c r="H88" s="225">
        <f t="shared" si="10"/>
        <v>0</v>
      </c>
      <c r="I88" s="226">
        <f t="shared" si="11"/>
        <v>0</v>
      </c>
      <c r="J88" s="227">
        <f t="shared" si="8"/>
        <v>0</v>
      </c>
      <c r="K88" s="99"/>
      <c r="L88" s="99"/>
      <c r="M88" s="99"/>
      <c r="N88" s="99"/>
      <c r="O88" s="99"/>
      <c r="P88" s="99"/>
      <c r="Q88" s="99"/>
      <c r="R88" s="99"/>
      <c r="S88" s="99"/>
      <c r="T88" s="99"/>
      <c r="U88" s="99"/>
    </row>
    <row r="89" spans="1:21" x14ac:dyDescent="0.2">
      <c r="A89" s="495"/>
      <c r="B89" s="496"/>
      <c r="C89" s="497"/>
      <c r="D89" s="202"/>
      <c r="E89" s="201"/>
      <c r="F89" s="201"/>
      <c r="G89" s="224">
        <f t="shared" si="9"/>
        <v>0</v>
      </c>
      <c r="H89" s="225">
        <f t="shared" si="10"/>
        <v>0</v>
      </c>
      <c r="I89" s="226">
        <f t="shared" si="11"/>
        <v>0</v>
      </c>
      <c r="J89" s="227">
        <f t="shared" si="8"/>
        <v>0</v>
      </c>
      <c r="K89" s="99"/>
      <c r="L89" s="99"/>
      <c r="M89" s="99"/>
      <c r="N89" s="99"/>
      <c r="O89" s="99"/>
      <c r="P89" s="99"/>
      <c r="Q89" s="99"/>
      <c r="R89" s="99"/>
      <c r="S89" s="99"/>
      <c r="T89" s="99"/>
      <c r="U89" s="99"/>
    </row>
    <row r="90" spans="1:21" x14ac:dyDescent="0.2">
      <c r="A90" s="495"/>
      <c r="B90" s="496"/>
      <c r="C90" s="497"/>
      <c r="D90" s="202"/>
      <c r="E90" s="201"/>
      <c r="F90" s="201"/>
      <c r="G90" s="224">
        <f t="shared" si="9"/>
        <v>0</v>
      </c>
      <c r="H90" s="225">
        <f t="shared" si="10"/>
        <v>0</v>
      </c>
      <c r="I90" s="226">
        <f t="shared" si="11"/>
        <v>0</v>
      </c>
      <c r="J90" s="227">
        <f t="shared" si="8"/>
        <v>0</v>
      </c>
      <c r="K90" s="99"/>
      <c r="L90" s="99"/>
      <c r="M90" s="99"/>
      <c r="N90" s="99"/>
      <c r="O90" s="99"/>
      <c r="P90" s="99"/>
      <c r="Q90" s="99"/>
      <c r="R90" s="99"/>
      <c r="S90" s="99"/>
      <c r="T90" s="99"/>
      <c r="U90" s="99"/>
    </row>
    <row r="91" spans="1:21" x14ac:dyDescent="0.2">
      <c r="A91" s="495"/>
      <c r="B91" s="496"/>
      <c r="C91" s="497"/>
      <c r="D91" s="202"/>
      <c r="E91" s="201"/>
      <c r="F91" s="201"/>
      <c r="G91" s="224">
        <f t="shared" si="9"/>
        <v>0</v>
      </c>
      <c r="H91" s="225">
        <f t="shared" si="10"/>
        <v>0</v>
      </c>
      <c r="I91" s="226">
        <f t="shared" si="11"/>
        <v>0</v>
      </c>
      <c r="J91" s="227">
        <f t="shared" si="8"/>
        <v>0</v>
      </c>
      <c r="K91" s="99"/>
      <c r="L91" s="99"/>
      <c r="M91" s="99"/>
      <c r="N91" s="99"/>
      <c r="O91" s="99"/>
      <c r="P91" s="99"/>
      <c r="Q91" s="99"/>
      <c r="R91" s="99"/>
      <c r="S91" s="99"/>
      <c r="T91" s="99"/>
      <c r="U91" s="99"/>
    </row>
    <row r="92" spans="1:21" x14ac:dyDescent="0.2">
      <c r="A92" s="495"/>
      <c r="B92" s="496"/>
      <c r="C92" s="497"/>
      <c r="D92" s="202"/>
      <c r="E92" s="201"/>
      <c r="F92" s="201"/>
      <c r="G92" s="224">
        <f t="shared" si="9"/>
        <v>0</v>
      </c>
      <c r="H92" s="225">
        <f t="shared" si="10"/>
        <v>0</v>
      </c>
      <c r="I92" s="226">
        <f t="shared" si="11"/>
        <v>0</v>
      </c>
      <c r="J92" s="227">
        <f t="shared" si="8"/>
        <v>0</v>
      </c>
      <c r="K92" s="99"/>
      <c r="L92" s="99"/>
      <c r="M92" s="99"/>
      <c r="N92" s="99"/>
      <c r="O92" s="99"/>
      <c r="P92" s="99"/>
      <c r="Q92" s="99"/>
      <c r="R92" s="99"/>
      <c r="S92" s="99"/>
      <c r="T92" s="99"/>
      <c r="U92" s="99"/>
    </row>
    <row r="93" spans="1:21" x14ac:dyDescent="0.2">
      <c r="A93" s="495"/>
      <c r="B93" s="496"/>
      <c r="C93" s="497"/>
      <c r="D93" s="202"/>
      <c r="E93" s="201"/>
      <c r="F93" s="201"/>
      <c r="G93" s="224">
        <f t="shared" si="9"/>
        <v>0</v>
      </c>
      <c r="H93" s="225">
        <f t="shared" si="10"/>
        <v>0</v>
      </c>
      <c r="I93" s="226">
        <f t="shared" si="11"/>
        <v>0</v>
      </c>
      <c r="J93" s="227">
        <f t="shared" si="8"/>
        <v>0</v>
      </c>
      <c r="K93" s="99"/>
      <c r="L93" s="99"/>
      <c r="M93" s="99"/>
      <c r="N93" s="99"/>
      <c r="O93" s="99"/>
      <c r="P93" s="99"/>
      <c r="Q93" s="99"/>
      <c r="R93" s="99"/>
      <c r="S93" s="99"/>
      <c r="T93" s="99"/>
      <c r="U93" s="99"/>
    </row>
    <row r="94" spans="1:21" x14ac:dyDescent="0.2">
      <c r="A94" s="495"/>
      <c r="B94" s="496"/>
      <c r="C94" s="497"/>
      <c r="D94" s="202"/>
      <c r="E94" s="201"/>
      <c r="F94" s="201"/>
      <c r="G94" s="224">
        <f t="shared" si="9"/>
        <v>0</v>
      </c>
      <c r="H94" s="225">
        <f t="shared" si="10"/>
        <v>0</v>
      </c>
      <c r="I94" s="226">
        <f t="shared" si="11"/>
        <v>0</v>
      </c>
      <c r="J94" s="227">
        <f t="shared" si="8"/>
        <v>0</v>
      </c>
      <c r="K94" s="99"/>
      <c r="L94" s="99"/>
      <c r="M94" s="99"/>
      <c r="N94" s="99"/>
      <c r="O94" s="99"/>
      <c r="P94" s="99"/>
      <c r="Q94" s="99"/>
      <c r="R94" s="99"/>
      <c r="S94" s="99"/>
      <c r="T94" s="99"/>
      <c r="U94" s="99"/>
    </row>
    <row r="95" spans="1:21" x14ac:dyDescent="0.2">
      <c r="A95" s="495"/>
      <c r="B95" s="496"/>
      <c r="C95" s="497"/>
      <c r="D95" s="202"/>
      <c r="E95" s="201"/>
      <c r="F95" s="201"/>
      <c r="G95" s="224">
        <f t="shared" si="9"/>
        <v>0</v>
      </c>
      <c r="H95" s="225">
        <f t="shared" si="10"/>
        <v>0</v>
      </c>
      <c r="I95" s="226">
        <f t="shared" si="11"/>
        <v>0</v>
      </c>
      <c r="J95" s="227">
        <f t="shared" si="8"/>
        <v>0</v>
      </c>
      <c r="K95" s="99"/>
      <c r="L95" s="99"/>
      <c r="M95" s="99"/>
      <c r="N95" s="99"/>
      <c r="O95" s="99"/>
      <c r="P95" s="99"/>
      <c r="Q95" s="99"/>
      <c r="R95" s="99"/>
      <c r="S95" s="99"/>
      <c r="T95" s="99"/>
      <c r="U95" s="99"/>
    </row>
    <row r="96" spans="1:21" x14ac:dyDescent="0.2">
      <c r="A96" s="495"/>
      <c r="B96" s="496"/>
      <c r="C96" s="497"/>
      <c r="D96" s="202"/>
      <c r="E96" s="201"/>
      <c r="F96" s="201"/>
      <c r="G96" s="224">
        <f t="shared" si="9"/>
        <v>0</v>
      </c>
      <c r="H96" s="225">
        <f t="shared" si="10"/>
        <v>0</v>
      </c>
      <c r="I96" s="226">
        <f t="shared" si="11"/>
        <v>0</v>
      </c>
      <c r="J96" s="227">
        <f t="shared" si="8"/>
        <v>0</v>
      </c>
      <c r="K96" s="99"/>
      <c r="L96" s="99"/>
      <c r="M96" s="99"/>
      <c r="N96" s="99"/>
      <c r="O96" s="99"/>
      <c r="P96" s="99"/>
      <c r="Q96" s="99"/>
      <c r="R96" s="99"/>
      <c r="S96" s="99"/>
      <c r="T96" s="99"/>
      <c r="U96" s="99"/>
    </row>
    <row r="97" spans="1:21" x14ac:dyDescent="0.2">
      <c r="A97" s="495"/>
      <c r="B97" s="496"/>
      <c r="C97" s="497"/>
      <c r="D97" s="202"/>
      <c r="E97" s="201"/>
      <c r="F97" s="201"/>
      <c r="G97" s="224">
        <f t="shared" si="9"/>
        <v>0</v>
      </c>
      <c r="H97" s="225">
        <f t="shared" si="10"/>
        <v>0</v>
      </c>
      <c r="I97" s="226">
        <f t="shared" si="11"/>
        <v>0</v>
      </c>
      <c r="J97" s="227">
        <f t="shared" si="8"/>
        <v>0</v>
      </c>
      <c r="K97" s="99"/>
      <c r="L97" s="99"/>
      <c r="M97" s="99"/>
      <c r="N97" s="99"/>
      <c r="O97" s="99"/>
      <c r="P97" s="99"/>
      <c r="Q97" s="99"/>
      <c r="R97" s="99"/>
      <c r="S97" s="99"/>
      <c r="T97" s="99"/>
      <c r="U97" s="99"/>
    </row>
    <row r="98" spans="1:21" x14ac:dyDescent="0.2">
      <c r="A98" s="495"/>
      <c r="B98" s="496"/>
      <c r="C98" s="497"/>
      <c r="D98" s="202"/>
      <c r="E98" s="201"/>
      <c r="F98" s="201"/>
      <c r="G98" s="224">
        <f t="shared" ref="G98:G101" si="12">IF(E98=0,0,IF(F98/E98&gt;0.38,SQRT(((E98*E98)+(F98*F98))/0.4),SQRT((E98*E98)+(F98*F98))))</f>
        <v>0</v>
      </c>
      <c r="H98" s="225">
        <f t="shared" ref="H98:H101" si="13" xml:space="preserve"> IF(B98&gt;65,66537/(-0.02152*G98+229.719)*(0.0085*B98+0.4552),66537/(-0.02152*G98+229.719))*D98</f>
        <v>0</v>
      </c>
      <c r="I98" s="226">
        <f t="shared" ref="I98:I101" si="14">IF(C98="no",H98,H98*1.1)</f>
        <v>0</v>
      </c>
      <c r="J98" s="227">
        <f t="shared" si="8"/>
        <v>0</v>
      </c>
      <c r="K98" s="99"/>
      <c r="L98" s="99"/>
      <c r="M98" s="99"/>
      <c r="N98" s="99"/>
      <c r="O98" s="99"/>
      <c r="P98" s="99"/>
      <c r="Q98" s="99"/>
      <c r="R98" s="99"/>
      <c r="S98" s="99"/>
      <c r="T98" s="99"/>
      <c r="U98" s="99"/>
    </row>
    <row r="99" spans="1:21" x14ac:dyDescent="0.2">
      <c r="A99" s="495"/>
      <c r="B99" s="496"/>
      <c r="C99" s="497"/>
      <c r="D99" s="202"/>
      <c r="E99" s="201"/>
      <c r="F99" s="201"/>
      <c r="G99" s="224">
        <f t="shared" si="12"/>
        <v>0</v>
      </c>
      <c r="H99" s="225">
        <f t="shared" si="13"/>
        <v>0</v>
      </c>
      <c r="I99" s="226">
        <f t="shared" si="14"/>
        <v>0</v>
      </c>
      <c r="J99" s="227">
        <f t="shared" si="8"/>
        <v>0</v>
      </c>
      <c r="K99" s="99"/>
      <c r="L99" s="99"/>
      <c r="M99" s="99"/>
      <c r="N99" s="99"/>
      <c r="O99" s="99"/>
      <c r="P99" s="99"/>
      <c r="Q99" s="99"/>
      <c r="R99" s="99"/>
      <c r="S99" s="99"/>
      <c r="T99" s="99"/>
      <c r="U99" s="99"/>
    </row>
    <row r="100" spans="1:21" x14ac:dyDescent="0.2">
      <c r="A100" s="495"/>
      <c r="B100" s="496"/>
      <c r="C100" s="497"/>
      <c r="D100" s="202"/>
      <c r="E100" s="201"/>
      <c r="F100" s="201"/>
      <c r="G100" s="224">
        <f t="shared" si="12"/>
        <v>0</v>
      </c>
      <c r="H100" s="225">
        <f t="shared" si="13"/>
        <v>0</v>
      </c>
      <c r="I100" s="226">
        <f t="shared" si="14"/>
        <v>0</v>
      </c>
      <c r="J100" s="227">
        <f t="shared" si="8"/>
        <v>0</v>
      </c>
      <c r="K100" s="99"/>
      <c r="L100" s="99"/>
      <c r="M100" s="99"/>
      <c r="N100" s="99"/>
      <c r="O100" s="99"/>
      <c r="P100" s="99"/>
      <c r="Q100" s="99"/>
      <c r="R100" s="99"/>
      <c r="S100" s="99"/>
      <c r="T100" s="99"/>
      <c r="U100" s="99"/>
    </row>
    <row r="101" spans="1:21" ht="13.5" thickBot="1" x14ac:dyDescent="0.25">
      <c r="A101" s="495"/>
      <c r="B101" s="496"/>
      <c r="C101" s="497"/>
      <c r="D101" s="202"/>
      <c r="E101" s="201"/>
      <c r="F101" s="201"/>
      <c r="G101" s="224">
        <f t="shared" si="12"/>
        <v>0</v>
      </c>
      <c r="H101" s="225">
        <f t="shared" si="13"/>
        <v>0</v>
      </c>
      <c r="I101" s="226">
        <f t="shared" si="14"/>
        <v>0</v>
      </c>
      <c r="J101" s="227">
        <f t="shared" si="8"/>
        <v>0</v>
      </c>
      <c r="K101" s="99"/>
      <c r="L101" s="99"/>
      <c r="M101" s="99"/>
      <c r="N101" s="99"/>
      <c r="O101" s="99"/>
      <c r="P101" s="99"/>
      <c r="Q101" s="99"/>
      <c r="R101" s="99"/>
      <c r="S101" s="99"/>
      <c r="T101" s="99"/>
      <c r="U101" s="99"/>
    </row>
    <row r="102" spans="1:21" x14ac:dyDescent="0.2">
      <c r="A102" s="203"/>
      <c r="B102" s="204"/>
      <c r="C102" s="204"/>
      <c r="D102" s="205">
        <f>SUM(D2:D101)</f>
        <v>0</v>
      </c>
      <c r="E102" s="206" t="s">
        <v>488</v>
      </c>
      <c r="F102" s="207"/>
      <c r="G102" s="99"/>
      <c r="H102" s="232"/>
      <c r="I102" s="99"/>
      <c r="J102" s="99"/>
      <c r="K102" s="99"/>
      <c r="L102" s="99"/>
      <c r="M102" s="99"/>
      <c r="N102" s="99"/>
      <c r="O102" s="99"/>
      <c r="P102" s="99"/>
      <c r="Q102" s="99"/>
      <c r="R102" s="99"/>
      <c r="S102" s="99"/>
      <c r="T102" s="99"/>
      <c r="U102" s="99"/>
    </row>
    <row r="103" spans="1:21" x14ac:dyDescent="0.2">
      <c r="A103" s="208"/>
      <c r="B103" s="209"/>
      <c r="C103" s="209"/>
      <c r="D103" s="210">
        <f>IF(D102=0,0,(SUM(I2:I101)+K23+D102*K25))</f>
        <v>0</v>
      </c>
      <c r="E103" s="211" t="s">
        <v>206</v>
      </c>
      <c r="F103" s="212"/>
      <c r="G103" s="99"/>
      <c r="H103" s="233"/>
      <c r="I103" s="233"/>
      <c r="J103" s="99"/>
      <c r="K103" s="99"/>
      <c r="L103" s="99"/>
      <c r="M103" s="99"/>
      <c r="N103" s="99"/>
      <c r="O103" s="99"/>
      <c r="P103" s="99"/>
      <c r="Q103" s="99"/>
      <c r="R103" s="99"/>
      <c r="S103" s="99"/>
      <c r="T103" s="99"/>
      <c r="U103" s="99"/>
    </row>
    <row r="104" spans="1:21" x14ac:dyDescent="0.2">
      <c r="A104" s="213"/>
      <c r="B104" s="214"/>
      <c r="C104" s="214"/>
      <c r="D104" s="210">
        <f>IF(D102=0,0,D103/D102)</f>
        <v>0</v>
      </c>
      <c r="E104" s="215" t="s">
        <v>489</v>
      </c>
      <c r="F104" s="212"/>
      <c r="G104" s="99"/>
      <c r="H104" s="99"/>
      <c r="I104" s="99"/>
      <c r="J104" s="99"/>
      <c r="K104" s="99"/>
      <c r="L104" s="99"/>
      <c r="M104" s="99"/>
      <c r="N104" s="99"/>
      <c r="O104" s="99"/>
      <c r="P104" s="99"/>
      <c r="Q104" s="99"/>
      <c r="R104" s="99"/>
      <c r="S104" s="99"/>
      <c r="T104" s="99"/>
      <c r="U104" s="99"/>
    </row>
    <row r="105" spans="1:21" ht="13.5" thickBot="1" x14ac:dyDescent="0.25">
      <c r="A105" s="216"/>
      <c r="B105" s="217"/>
      <c r="C105" s="217"/>
      <c r="D105" s="218">
        <f>IF(D102=0,0,SUMPRODUCT(G2:G101,D2:D101)/D102)</f>
        <v>0</v>
      </c>
      <c r="E105" s="219" t="s">
        <v>147</v>
      </c>
      <c r="F105" s="220"/>
      <c r="G105" s="99"/>
      <c r="H105" s="99"/>
      <c r="I105" s="99"/>
      <c r="J105" s="99"/>
      <c r="K105" s="234"/>
      <c r="L105" s="99"/>
      <c r="M105" s="99"/>
      <c r="N105" s="99"/>
      <c r="O105" s="99"/>
      <c r="P105" s="99"/>
      <c r="Q105" s="99"/>
      <c r="R105" s="99"/>
      <c r="S105" s="99"/>
      <c r="T105" s="99"/>
      <c r="U105" s="99"/>
    </row>
    <row r="106" spans="1:21" x14ac:dyDescent="0.2">
      <c r="F106" s="99"/>
      <c r="G106" s="99"/>
      <c r="H106" s="99"/>
      <c r="I106" s="99"/>
      <c r="J106" s="99"/>
      <c r="K106" s="99"/>
      <c r="L106" s="99"/>
      <c r="M106" s="99"/>
      <c r="N106" s="99"/>
      <c r="O106" s="99"/>
      <c r="P106" s="99"/>
      <c r="Q106" s="99"/>
      <c r="R106" s="99"/>
      <c r="S106" s="99"/>
      <c r="T106" s="99"/>
      <c r="U106" s="99"/>
    </row>
    <row r="107" spans="1:21" x14ac:dyDescent="0.2">
      <c r="F107" s="99"/>
      <c r="G107" s="99"/>
      <c r="H107" s="99"/>
      <c r="I107" s="99"/>
      <c r="J107" s="99"/>
      <c r="K107" s="99"/>
      <c r="L107" s="99"/>
      <c r="M107" s="99"/>
      <c r="N107" s="99"/>
      <c r="O107" s="99"/>
      <c r="P107" s="99"/>
      <c r="Q107" s="99"/>
      <c r="R107" s="99"/>
      <c r="S107" s="99"/>
      <c r="T107" s="99"/>
      <c r="U107" s="99"/>
    </row>
    <row r="108" spans="1:21" x14ac:dyDescent="0.2">
      <c r="F108" s="99"/>
      <c r="G108" s="99"/>
      <c r="H108" s="99"/>
      <c r="I108" s="99"/>
      <c r="J108" s="99"/>
      <c r="K108" s="99"/>
      <c r="L108" s="99"/>
      <c r="M108" s="99"/>
      <c r="N108" s="99"/>
      <c r="O108" s="99"/>
      <c r="P108" s="99"/>
      <c r="Q108" s="99"/>
      <c r="R108" s="99"/>
      <c r="S108" s="99"/>
      <c r="T108" s="99"/>
      <c r="U108" s="99"/>
    </row>
    <row r="109" spans="1:21" x14ac:dyDescent="0.2">
      <c r="F109" s="99"/>
      <c r="G109" s="99"/>
      <c r="H109" s="99"/>
      <c r="I109" s="99"/>
      <c r="J109" s="99"/>
      <c r="K109" s="99"/>
      <c r="L109" s="99"/>
      <c r="M109" s="99"/>
      <c r="N109" s="99"/>
      <c r="O109" s="99"/>
      <c r="P109" s="99"/>
      <c r="Q109" s="99"/>
      <c r="R109" s="99"/>
      <c r="S109" s="99"/>
      <c r="T109" s="99"/>
      <c r="U109" s="99"/>
    </row>
  </sheetData>
  <sheetProtection algorithmName="SHA-512" hashValue="G1Dm93tkkQFh1q27vwth92JiVjAIfT4r1OE8TjFrEGflVf5GcXpr6wGtncB2ntlZaCplI2zbBh6ewVJd/ah/OA==" saltValue="CRui2qIYV6tOnbCax2+49A==" spinCount="100000" sheet="1" objects="1" scenarios="1"/>
  <phoneticPr fontId="0" type="noConversion"/>
  <printOptions gridLines="1"/>
  <pageMargins left="0.5" right="0.75" top="0.5" bottom="0.5" header="0.5" footer="0.5"/>
  <pageSetup paperSize="3" fitToHeight="2"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CCFFCC"/>
  </sheetPr>
  <dimension ref="A1:S130"/>
  <sheetViews>
    <sheetView zoomScale="90" zoomScaleNormal="90" workbookViewId="0">
      <selection activeCell="C24" sqref="C24"/>
    </sheetView>
  </sheetViews>
  <sheetFormatPr defaultColWidth="9.140625" defaultRowHeight="12.75" x14ac:dyDescent="0.2"/>
  <cols>
    <col min="1" max="1" width="34.85546875" style="26" customWidth="1"/>
    <col min="2" max="2" width="14.28515625" style="26" customWidth="1"/>
    <col min="3" max="5" width="16.7109375" style="26" customWidth="1"/>
    <col min="6" max="6" width="8" style="26" customWidth="1"/>
    <col min="7" max="7" width="16.28515625" style="26" customWidth="1"/>
    <col min="8" max="8" width="17.140625" style="26" customWidth="1"/>
    <col min="9" max="9" width="16.85546875" style="26" customWidth="1"/>
    <col min="10" max="10" width="16.7109375" style="26" customWidth="1"/>
    <col min="11" max="16384" width="9.140625" style="26"/>
  </cols>
  <sheetData>
    <row r="1" spans="1:19" x14ac:dyDescent="0.2">
      <c r="A1" s="96" t="s">
        <v>235</v>
      </c>
      <c r="B1" s="92"/>
      <c r="C1" s="92"/>
      <c r="D1" s="92"/>
      <c r="E1" s="92"/>
      <c r="F1" s="92"/>
      <c r="G1" s="92"/>
      <c r="H1" s="92"/>
      <c r="I1" s="92"/>
      <c r="J1" s="92"/>
      <c r="K1" s="92"/>
      <c r="L1" s="92"/>
      <c r="M1" s="92"/>
      <c r="N1" s="18"/>
      <c r="O1" s="18"/>
      <c r="P1" s="18"/>
      <c r="Q1" s="18"/>
      <c r="R1" s="18"/>
      <c r="S1" s="18"/>
    </row>
    <row r="2" spans="1:19" x14ac:dyDescent="0.2">
      <c r="A2" s="92"/>
      <c r="B2" s="92"/>
      <c r="C2" s="92"/>
      <c r="D2" s="92"/>
      <c r="E2" s="92"/>
      <c r="F2" s="92"/>
      <c r="G2" s="92"/>
      <c r="H2" s="92"/>
      <c r="I2" s="92"/>
      <c r="J2" s="92"/>
      <c r="K2" s="92"/>
      <c r="L2" s="92"/>
      <c r="M2" s="92"/>
      <c r="N2" s="18"/>
      <c r="O2" s="18"/>
      <c r="P2" s="18"/>
      <c r="Q2" s="18"/>
      <c r="R2" s="18"/>
      <c r="S2" s="18"/>
    </row>
    <row r="3" spans="1:19" x14ac:dyDescent="0.2">
      <c r="A3" s="548" t="s">
        <v>415</v>
      </c>
      <c r="B3" s="549"/>
      <c r="C3" s="92"/>
      <c r="D3" s="92"/>
      <c r="E3" s="92"/>
      <c r="F3" s="92"/>
      <c r="G3" s="92"/>
      <c r="H3" s="92"/>
      <c r="I3" s="92"/>
      <c r="J3" s="92"/>
      <c r="K3" s="92"/>
      <c r="L3" s="92"/>
      <c r="M3" s="92"/>
      <c r="N3" s="18"/>
      <c r="O3" s="18"/>
      <c r="P3" s="18"/>
      <c r="Q3" s="18"/>
      <c r="R3" s="18"/>
      <c r="S3" s="18"/>
    </row>
    <row r="4" spans="1:19" x14ac:dyDescent="0.2">
      <c r="A4" s="549"/>
      <c r="B4" s="550" t="s">
        <v>77</v>
      </c>
      <c r="C4" s="92"/>
      <c r="D4" s="92"/>
      <c r="E4" s="92"/>
      <c r="F4" s="92"/>
      <c r="G4" s="92"/>
      <c r="H4" s="92"/>
      <c r="I4" s="92"/>
      <c r="J4" s="92"/>
      <c r="K4" s="92"/>
      <c r="L4" s="92"/>
      <c r="M4" s="92"/>
      <c r="N4" s="18"/>
      <c r="O4" s="18"/>
      <c r="P4" s="18"/>
      <c r="Q4" s="18"/>
      <c r="R4" s="18"/>
      <c r="S4" s="18"/>
    </row>
    <row r="5" spans="1:19" x14ac:dyDescent="0.2">
      <c r="A5" s="549" t="s">
        <v>220</v>
      </c>
      <c r="B5" s="483">
        <f>'OG units'!N19</f>
        <v>0</v>
      </c>
      <c r="C5" s="92"/>
      <c r="D5" s="92"/>
      <c r="E5" s="92"/>
      <c r="F5" s="92"/>
      <c r="G5" s="92"/>
      <c r="H5" s="92"/>
      <c r="I5" s="92"/>
      <c r="J5" s="92"/>
      <c r="K5" s="92"/>
      <c r="L5" s="92"/>
      <c r="M5" s="92"/>
      <c r="N5" s="18"/>
      <c r="O5" s="18"/>
      <c r="P5" s="18"/>
      <c r="Q5" s="18"/>
      <c r="R5" s="18"/>
      <c r="S5" s="18"/>
    </row>
    <row r="6" spans="1:19" x14ac:dyDescent="0.2">
      <c r="A6" s="549" t="s">
        <v>222</v>
      </c>
      <c r="B6" s="483">
        <f>'OG units'!L19</f>
        <v>0</v>
      </c>
      <c r="C6" s="92"/>
      <c r="D6" s="92"/>
      <c r="E6" s="92"/>
      <c r="F6" s="92"/>
      <c r="G6" s="92"/>
      <c r="H6" s="92"/>
      <c r="I6" s="92"/>
      <c r="J6" s="92"/>
      <c r="K6" s="92"/>
      <c r="L6" s="92"/>
      <c r="M6" s="92"/>
      <c r="N6" s="18"/>
      <c r="O6" s="18"/>
      <c r="P6" s="18"/>
      <c r="Q6" s="18"/>
      <c r="R6" s="18"/>
      <c r="S6" s="18"/>
    </row>
    <row r="7" spans="1:19" x14ac:dyDescent="0.2">
      <c r="A7" s="549" t="s">
        <v>221</v>
      </c>
      <c r="B7" s="483">
        <f>'OG units'!M19</f>
        <v>0</v>
      </c>
      <c r="C7" s="92"/>
      <c r="D7" s="92"/>
      <c r="E7" s="92"/>
      <c r="F7" s="92"/>
      <c r="G7" s="92"/>
      <c r="H7" s="92"/>
      <c r="I7" s="92"/>
      <c r="J7" s="92"/>
      <c r="K7" s="92"/>
      <c r="L7" s="92"/>
      <c r="M7" s="92"/>
      <c r="N7" s="18"/>
      <c r="O7" s="18"/>
      <c r="P7" s="18"/>
      <c r="Q7" s="18"/>
      <c r="R7" s="18"/>
      <c r="S7" s="18"/>
    </row>
    <row r="8" spans="1:19" x14ac:dyDescent="0.2">
      <c r="A8" s="551" t="s">
        <v>223</v>
      </c>
      <c r="B8" s="552">
        <f>'YG units'!R19</f>
        <v>0</v>
      </c>
      <c r="C8" s="92"/>
      <c r="D8" s="92"/>
      <c r="E8" s="92"/>
      <c r="F8" s="92"/>
      <c r="G8" s="92"/>
      <c r="H8" s="92"/>
      <c r="I8" s="92"/>
      <c r="J8" s="92"/>
      <c r="K8" s="92"/>
      <c r="L8" s="92"/>
      <c r="M8" s="92"/>
      <c r="N8" s="18"/>
      <c r="O8" s="18"/>
      <c r="P8" s="18"/>
      <c r="Q8" s="18"/>
      <c r="R8" s="18"/>
      <c r="S8" s="18"/>
    </row>
    <row r="9" spans="1:19" x14ac:dyDescent="0.2">
      <c r="A9" s="551" t="s">
        <v>433</v>
      </c>
      <c r="B9" s="552">
        <f>'YG units'!N19+'YG units'!O19</f>
        <v>0</v>
      </c>
      <c r="C9" s="92"/>
      <c r="D9" s="92"/>
      <c r="E9" s="92"/>
      <c r="F9" s="92"/>
      <c r="G9" s="92"/>
      <c r="H9" s="92"/>
      <c r="I9" s="92"/>
      <c r="J9" s="92"/>
      <c r="K9" s="92"/>
      <c r="L9" s="92"/>
      <c r="M9" s="92"/>
      <c r="N9" s="18"/>
      <c r="O9" s="18"/>
      <c r="P9" s="18"/>
      <c r="Q9" s="18"/>
      <c r="R9" s="18"/>
      <c r="S9" s="18"/>
    </row>
    <row r="10" spans="1:19" x14ac:dyDescent="0.2">
      <c r="A10" s="551" t="s">
        <v>432</v>
      </c>
      <c r="B10" s="552">
        <f>'YG units'!P19+'YG units'!Q19</f>
        <v>0</v>
      </c>
      <c r="C10" s="92"/>
      <c r="D10" s="92"/>
      <c r="E10" s="92"/>
      <c r="F10" s="92"/>
      <c r="G10" s="92"/>
      <c r="H10" s="92"/>
      <c r="I10" s="92"/>
      <c r="J10" s="92"/>
      <c r="K10" s="92"/>
      <c r="L10" s="92"/>
      <c r="M10" s="92"/>
      <c r="N10" s="18"/>
      <c r="O10" s="18"/>
      <c r="P10" s="18"/>
      <c r="Q10" s="18"/>
      <c r="R10" s="18"/>
      <c r="S10" s="18"/>
    </row>
    <row r="11" spans="1:19" x14ac:dyDescent="0.2">
      <c r="A11" s="92"/>
      <c r="B11" s="92"/>
      <c r="C11" s="92"/>
      <c r="D11" s="92"/>
      <c r="E11" s="92"/>
      <c r="F11" s="92"/>
      <c r="G11" s="92"/>
      <c r="H11" s="92"/>
      <c r="I11" s="92"/>
      <c r="J11" s="92"/>
      <c r="K11" s="92"/>
      <c r="L11" s="92"/>
      <c r="M11" s="92"/>
      <c r="N11" s="18"/>
      <c r="O11" s="18"/>
      <c r="P11" s="18"/>
      <c r="Q11" s="18"/>
      <c r="R11" s="18"/>
      <c r="S11" s="18"/>
    </row>
    <row r="12" spans="1:19" x14ac:dyDescent="0.2">
      <c r="A12" s="92"/>
      <c r="B12" s="553"/>
      <c r="C12" s="92"/>
      <c r="D12" s="92"/>
      <c r="E12" s="92"/>
      <c r="F12" s="92"/>
      <c r="G12" s="92"/>
      <c r="H12" s="92"/>
      <c r="I12" s="92"/>
      <c r="J12" s="92"/>
      <c r="K12" s="92"/>
      <c r="L12" s="92"/>
      <c r="M12" s="92"/>
    </row>
    <row r="13" spans="1:19" x14ac:dyDescent="0.2">
      <c r="A13" s="548" t="s">
        <v>414</v>
      </c>
      <c r="B13" s="553"/>
      <c r="C13" s="92"/>
      <c r="D13" s="92"/>
      <c r="E13" s="92"/>
      <c r="F13" s="92"/>
      <c r="G13" s="92"/>
      <c r="H13" s="92"/>
      <c r="I13" s="92"/>
      <c r="J13" s="92"/>
      <c r="K13" s="92"/>
      <c r="L13" s="92"/>
      <c r="M13" s="92"/>
    </row>
    <row r="14" spans="1:19" x14ac:dyDescent="0.2">
      <c r="B14" s="554" t="s">
        <v>413</v>
      </c>
      <c r="C14" s="555"/>
      <c r="D14" s="555"/>
      <c r="E14" s="92"/>
      <c r="F14" s="92"/>
      <c r="G14" s="556" t="s">
        <v>421</v>
      </c>
      <c r="H14" s="557"/>
      <c r="I14" s="557"/>
      <c r="J14" s="92"/>
      <c r="K14" s="92"/>
      <c r="L14" s="92"/>
      <c r="M14" s="92"/>
    </row>
    <row r="15" spans="1:19" x14ac:dyDescent="0.2">
      <c r="A15" s="549"/>
      <c r="B15" s="550" t="s">
        <v>77</v>
      </c>
      <c r="C15" s="558" t="s">
        <v>218</v>
      </c>
      <c r="D15" s="558" t="s">
        <v>435</v>
      </c>
      <c r="E15" s="92"/>
      <c r="F15" s="92"/>
      <c r="G15" s="550" t="s">
        <v>77</v>
      </c>
      <c r="H15" s="558" t="s">
        <v>218</v>
      </c>
      <c r="I15" s="558" t="s">
        <v>435</v>
      </c>
      <c r="J15" s="92"/>
      <c r="K15" s="92"/>
      <c r="L15" s="92"/>
    </row>
    <row r="16" spans="1:19" x14ac:dyDescent="0.2">
      <c r="A16" s="549" t="s">
        <v>400</v>
      </c>
      <c r="B16" s="482">
        <f>'Input Pg1'!C54</f>
        <v>0</v>
      </c>
      <c r="C16" s="546">
        <f>B16*'Input Pg1'!D54</f>
        <v>0</v>
      </c>
      <c r="D16" s="546">
        <f>B16*'Input Pg1'!E54</f>
        <v>0</v>
      </c>
      <c r="E16" s="92"/>
      <c r="F16" s="559"/>
      <c r="G16" s="573">
        <f>B16</f>
        <v>0</v>
      </c>
      <c r="H16" s="546">
        <f>G16*'Input Pg1'!D66</f>
        <v>0</v>
      </c>
      <c r="I16" s="546">
        <f>G16*'Input Pg1'!E66</f>
        <v>0</v>
      </c>
      <c r="J16" s="92"/>
      <c r="K16" s="92"/>
      <c r="L16" s="92"/>
    </row>
    <row r="17" spans="1:13" x14ac:dyDescent="0.2">
      <c r="A17" s="549" t="s">
        <v>401</v>
      </c>
      <c r="B17" s="482">
        <f>'Input Pg1'!C55+'Input Pg1'!C56</f>
        <v>0</v>
      </c>
      <c r="C17" s="546">
        <f>B17*'Input Pg1'!D56</f>
        <v>0</v>
      </c>
      <c r="D17" s="546">
        <f>B17*'Input Pg1'!E56</f>
        <v>0</v>
      </c>
      <c r="E17" s="92"/>
      <c r="F17" s="559"/>
      <c r="G17" s="573">
        <f>B17</f>
        <v>0</v>
      </c>
      <c r="H17" s="546">
        <f>G17*'Input Pg1'!D68</f>
        <v>0</v>
      </c>
      <c r="I17" s="546">
        <f>G17*'Input Pg1'!E68</f>
        <v>0</v>
      </c>
      <c r="J17" s="92"/>
      <c r="K17" s="92"/>
      <c r="L17" s="92"/>
    </row>
    <row r="18" spans="1:13" x14ac:dyDescent="0.2">
      <c r="A18" s="549" t="s">
        <v>402</v>
      </c>
      <c r="B18" s="482">
        <f>'Input Pg1'!C57</f>
        <v>0</v>
      </c>
      <c r="C18" s="546">
        <f>B18*'Input Pg1'!D57</f>
        <v>0</v>
      </c>
      <c r="D18" s="546">
        <f>B18*'Input Pg1'!E57</f>
        <v>0</v>
      </c>
      <c r="E18" s="92"/>
      <c r="F18" s="92"/>
      <c r="G18" s="573">
        <f>B18</f>
        <v>0</v>
      </c>
      <c r="H18" s="546">
        <f>G18*'Input Pg1'!D69</f>
        <v>0</v>
      </c>
      <c r="I18" s="546">
        <f>G18*'Input Pg1'!E69</f>
        <v>0</v>
      </c>
      <c r="J18" s="92"/>
      <c r="K18" s="92"/>
      <c r="L18" s="92"/>
    </row>
    <row r="19" spans="1:13" x14ac:dyDescent="0.2">
      <c r="A19" s="92" t="s">
        <v>403</v>
      </c>
      <c r="B19" s="482">
        <f>'Input Pg1'!C58</f>
        <v>0</v>
      </c>
      <c r="C19" s="546">
        <f>B19*'Input Pg1'!D58</f>
        <v>0</v>
      </c>
      <c r="D19" s="546">
        <f>B19*'Input Pg1'!E58</f>
        <v>0</v>
      </c>
      <c r="E19" s="92"/>
      <c r="G19" s="573">
        <f>B19</f>
        <v>0</v>
      </c>
      <c r="H19" s="546">
        <f>G19*'Input Pg1'!D70</f>
        <v>0</v>
      </c>
      <c r="I19" s="546">
        <f>G19*'Input Pg1'!E70</f>
        <v>0</v>
      </c>
      <c r="J19" s="92"/>
    </row>
    <row r="20" spans="1:13" x14ac:dyDescent="0.2">
      <c r="A20" s="549" t="s">
        <v>405</v>
      </c>
      <c r="B20" s="482">
        <f>'Input Pg1'!C59</f>
        <v>0</v>
      </c>
      <c r="C20" s="546">
        <f>B20*'Input Pg1'!D59</f>
        <v>0</v>
      </c>
      <c r="D20" s="546">
        <f>B20*'Input Pg1'!E59</f>
        <v>0</v>
      </c>
      <c r="E20" s="92"/>
      <c r="F20" s="559"/>
      <c r="G20" s="573">
        <f>B20</f>
        <v>0</v>
      </c>
      <c r="H20" s="546">
        <f>G20*'Input Pg1'!D71</f>
        <v>0</v>
      </c>
      <c r="I20" s="546">
        <f>G20*'Input Pg1'!E71</f>
        <v>0</v>
      </c>
      <c r="J20" s="92"/>
      <c r="K20" s="92"/>
      <c r="L20" s="92"/>
    </row>
    <row r="21" spans="1:13" x14ac:dyDescent="0.2">
      <c r="A21" s="548" t="s">
        <v>409</v>
      </c>
      <c r="B21" s="560">
        <f>SUM(B16:B20)</f>
        <v>0</v>
      </c>
      <c r="C21" s="560">
        <f>SUM(C16:C20)</f>
        <v>0</v>
      </c>
      <c r="D21" s="560">
        <f>SUM(D16:D20)</f>
        <v>0</v>
      </c>
      <c r="E21" s="92"/>
      <c r="F21" s="561"/>
      <c r="G21" s="560">
        <f>SUM(G16:G20)</f>
        <v>0</v>
      </c>
      <c r="H21" s="560">
        <f>SUM(H16:H20)</f>
        <v>0</v>
      </c>
      <c r="I21" s="560">
        <f>SUM(I16:I20)</f>
        <v>0</v>
      </c>
      <c r="J21" s="92"/>
      <c r="K21" s="92"/>
      <c r="L21" s="92"/>
    </row>
    <row r="22" spans="1:13" x14ac:dyDescent="0.2">
      <c r="A22" s="548"/>
      <c r="B22" s="562"/>
      <c r="C22" s="562"/>
      <c r="D22" s="562"/>
      <c r="E22" s="562"/>
      <c r="F22" s="561"/>
      <c r="G22" s="537"/>
      <c r="H22" s="92"/>
      <c r="I22" s="92"/>
      <c r="J22" s="562"/>
      <c r="K22" s="92"/>
      <c r="L22" s="92"/>
    </row>
    <row r="23" spans="1:13" ht="38.25" x14ac:dyDescent="0.2">
      <c r="A23" s="563" t="s">
        <v>580</v>
      </c>
      <c r="B23" s="562"/>
      <c r="C23" s="564" t="s">
        <v>520</v>
      </c>
      <c r="D23" s="564" t="s">
        <v>521</v>
      </c>
      <c r="E23" s="564" t="s">
        <v>1</v>
      </c>
      <c r="F23" s="562"/>
      <c r="G23" s="561"/>
      <c r="H23" s="564" t="s">
        <v>520</v>
      </c>
      <c r="I23" s="564" t="s">
        <v>521</v>
      </c>
      <c r="J23" s="564" t="s">
        <v>1</v>
      </c>
      <c r="K23" s="92"/>
      <c r="L23" s="92"/>
      <c r="M23" s="92"/>
    </row>
    <row r="24" spans="1:13" x14ac:dyDescent="0.2">
      <c r="A24" s="549" t="s">
        <v>522</v>
      </c>
      <c r="B24" s="565"/>
      <c r="C24" s="512"/>
      <c r="D24" s="512"/>
      <c r="E24" s="546">
        <f>C24+D24</f>
        <v>0</v>
      </c>
      <c r="F24" s="562"/>
      <c r="G24" s="561"/>
      <c r="H24" s="512"/>
      <c r="I24" s="512"/>
      <c r="J24" s="546">
        <f>H24+I24</f>
        <v>0</v>
      </c>
      <c r="K24" s="92"/>
      <c r="L24" s="92"/>
    </row>
    <row r="25" spans="1:13" x14ac:dyDescent="0.2">
      <c r="A25" s="92" t="s">
        <v>523</v>
      </c>
      <c r="B25" s="92"/>
      <c r="C25" s="237"/>
      <c r="D25" s="237"/>
      <c r="E25" s="92"/>
      <c r="F25" s="549"/>
      <c r="G25" s="92"/>
      <c r="H25" s="237"/>
      <c r="I25" s="237"/>
      <c r="J25" s="92"/>
      <c r="K25" s="92"/>
      <c r="L25" s="92"/>
      <c r="M25" s="92"/>
    </row>
    <row r="26" spans="1:13" x14ac:dyDescent="0.2">
      <c r="A26" s="92" t="s">
        <v>524</v>
      </c>
      <c r="C26" s="534"/>
      <c r="D26" s="534"/>
      <c r="E26" s="547">
        <f>C26+D26</f>
        <v>0</v>
      </c>
      <c r="F26" s="549"/>
      <c r="G26" s="92"/>
      <c r="H26" s="535"/>
      <c r="I26" s="535"/>
      <c r="J26" s="547">
        <f>H26+I26</f>
        <v>0</v>
      </c>
      <c r="K26" s="92"/>
      <c r="L26" s="92"/>
    </row>
    <row r="27" spans="1:13" x14ac:dyDescent="0.2">
      <c r="A27" s="92" t="s">
        <v>525</v>
      </c>
      <c r="C27" s="549"/>
      <c r="D27" s="566" t="s">
        <v>542</v>
      </c>
      <c r="E27" s="566"/>
      <c r="F27" s="92"/>
      <c r="G27" s="92"/>
      <c r="H27" s="92"/>
      <c r="I27" s="535"/>
      <c r="K27" s="92"/>
      <c r="L27" s="92"/>
    </row>
    <row r="28" spans="1:13" x14ac:dyDescent="0.2">
      <c r="A28" s="567" t="s">
        <v>624</v>
      </c>
      <c r="C28" s="549"/>
      <c r="D28" s="549"/>
      <c r="E28" s="549"/>
      <c r="F28" s="92"/>
      <c r="G28" s="92"/>
      <c r="H28" s="92"/>
      <c r="I28" s="92"/>
      <c r="J28" s="549"/>
      <c r="K28" s="92"/>
      <c r="L28" s="92"/>
    </row>
    <row r="29" spans="1:13" x14ac:dyDescent="0.2">
      <c r="C29" s="549"/>
      <c r="D29" s="549"/>
      <c r="E29" s="549"/>
      <c r="F29" s="92"/>
      <c r="G29" s="92"/>
      <c r="H29" s="92"/>
      <c r="I29" s="92"/>
      <c r="J29" s="549"/>
      <c r="K29" s="92"/>
      <c r="L29" s="92"/>
    </row>
    <row r="30" spans="1:13" x14ac:dyDescent="0.2">
      <c r="A30" s="563" t="s">
        <v>572</v>
      </c>
      <c r="C30" s="549"/>
      <c r="D30" s="549"/>
      <c r="E30" s="549"/>
      <c r="F30" s="92"/>
      <c r="G30" s="92"/>
      <c r="H30" s="92"/>
      <c r="I30" s="92"/>
      <c r="J30" s="549"/>
      <c r="K30" s="92"/>
      <c r="L30" s="92"/>
    </row>
    <row r="31" spans="1:13" x14ac:dyDescent="0.2">
      <c r="A31" s="56"/>
      <c r="B31" s="56"/>
      <c r="C31" s="236"/>
      <c r="D31" s="236"/>
      <c r="E31" s="236"/>
      <c r="F31" s="236"/>
      <c r="G31" s="236"/>
      <c r="H31" s="236"/>
      <c r="I31" s="236"/>
      <c r="J31" s="236"/>
      <c r="K31" s="92"/>
      <c r="L31" s="92"/>
    </row>
    <row r="32" spans="1:13" x14ac:dyDescent="0.2">
      <c r="A32" s="56"/>
      <c r="B32" s="56"/>
      <c r="C32" s="236"/>
      <c r="D32" s="236"/>
      <c r="E32" s="236"/>
      <c r="F32" s="236"/>
      <c r="G32" s="236"/>
      <c r="H32" s="236"/>
      <c r="I32" s="236"/>
      <c r="J32" s="236"/>
      <c r="K32" s="92"/>
      <c r="L32" s="92"/>
    </row>
    <row r="33" spans="1:13" x14ac:dyDescent="0.2">
      <c r="A33" s="56"/>
      <c r="B33" s="56"/>
      <c r="C33" s="236"/>
      <c r="D33" s="236"/>
      <c r="E33" s="236"/>
      <c r="F33" s="236"/>
      <c r="G33" s="236"/>
      <c r="H33" s="236"/>
      <c r="I33" s="236"/>
      <c r="J33" s="236"/>
      <c r="K33" s="92"/>
      <c r="L33" s="92"/>
    </row>
    <row r="34" spans="1:13" x14ac:dyDescent="0.2">
      <c r="A34" s="236"/>
      <c r="B34" s="236"/>
      <c r="C34" s="511"/>
      <c r="D34" s="236"/>
      <c r="E34" s="236"/>
      <c r="F34" s="236"/>
      <c r="G34" s="236"/>
      <c r="H34" s="236"/>
      <c r="I34" s="236"/>
      <c r="J34" s="236"/>
      <c r="K34" s="92"/>
      <c r="L34" s="92"/>
      <c r="M34" s="92"/>
    </row>
    <row r="35" spans="1:13" x14ac:dyDescent="0.2">
      <c r="A35" s="236"/>
      <c r="B35" s="236"/>
      <c r="C35" s="236"/>
      <c r="D35" s="236"/>
      <c r="E35" s="236"/>
      <c r="F35" s="236"/>
      <c r="G35" s="236"/>
      <c r="H35" s="236"/>
      <c r="I35" s="236"/>
      <c r="J35" s="236"/>
      <c r="K35" s="92"/>
      <c r="L35" s="92"/>
      <c r="M35" s="92"/>
    </row>
    <row r="36" spans="1:13" x14ac:dyDescent="0.2">
      <c r="A36" s="236"/>
      <c r="B36" s="236"/>
      <c r="C36" s="236"/>
      <c r="D36" s="236"/>
      <c r="E36" s="236"/>
      <c r="F36" s="236"/>
      <c r="G36" s="236"/>
      <c r="H36" s="236"/>
      <c r="I36" s="236"/>
      <c r="J36" s="236"/>
      <c r="K36" s="92"/>
      <c r="L36" s="92"/>
      <c r="M36" s="92"/>
    </row>
    <row r="37" spans="1:13" x14ac:dyDescent="0.2">
      <c r="A37" s="236"/>
      <c r="B37" s="236"/>
      <c r="C37" s="236"/>
      <c r="D37" s="236"/>
      <c r="E37" s="236"/>
      <c r="F37" s="236"/>
      <c r="G37" s="236"/>
      <c r="H37" s="236"/>
      <c r="I37" s="236"/>
      <c r="J37" s="236"/>
      <c r="K37" s="92"/>
      <c r="L37" s="92"/>
      <c r="M37" s="92"/>
    </row>
    <row r="38" spans="1:13" x14ac:dyDescent="0.2">
      <c r="A38" s="236"/>
      <c r="B38" s="236"/>
      <c r="C38" s="236"/>
      <c r="D38" s="236"/>
      <c r="E38" s="236"/>
      <c r="F38" s="236"/>
      <c r="G38" s="236"/>
      <c r="H38" s="236"/>
      <c r="I38" s="236"/>
      <c r="J38" s="236"/>
      <c r="K38" s="92"/>
      <c r="L38" s="92"/>
      <c r="M38" s="92"/>
    </row>
    <row r="39" spans="1:13" x14ac:dyDescent="0.2">
      <c r="A39" s="236"/>
      <c r="B39" s="236"/>
      <c r="C39" s="236"/>
      <c r="D39" s="236"/>
      <c r="E39" s="236"/>
      <c r="F39" s="236"/>
      <c r="G39" s="236"/>
      <c r="H39" s="236"/>
      <c r="I39" s="236"/>
      <c r="J39" s="236"/>
      <c r="K39" s="92"/>
      <c r="L39" s="92"/>
      <c r="M39" s="92"/>
    </row>
    <row r="40" spans="1:13" x14ac:dyDescent="0.2">
      <c r="A40" s="236"/>
      <c r="B40" s="236"/>
      <c r="C40" s="236"/>
      <c r="D40" s="236"/>
      <c r="E40" s="236"/>
      <c r="F40" s="236"/>
      <c r="G40" s="236"/>
      <c r="H40" s="236"/>
      <c r="I40" s="236"/>
      <c r="J40" s="236"/>
      <c r="K40" s="92"/>
      <c r="L40" s="92"/>
      <c r="M40" s="92"/>
    </row>
    <row r="41" spans="1:13" x14ac:dyDescent="0.2">
      <c r="A41" s="236"/>
      <c r="B41" s="236"/>
      <c r="C41" s="236"/>
      <c r="D41" s="236"/>
      <c r="E41" s="236"/>
      <c r="F41" s="236"/>
      <c r="G41" s="236"/>
      <c r="H41" s="236"/>
      <c r="I41" s="236"/>
      <c r="J41" s="236"/>
      <c r="K41" s="92"/>
      <c r="L41" s="92"/>
      <c r="M41" s="92"/>
    </row>
    <row r="42" spans="1:13" s="568" customFormat="1" x14ac:dyDescent="0.2">
      <c r="A42" s="236"/>
      <c r="B42" s="236"/>
      <c r="C42" s="236"/>
      <c r="D42" s="236"/>
      <c r="E42" s="236"/>
      <c r="F42" s="236"/>
      <c r="G42" s="236"/>
      <c r="H42" s="236"/>
      <c r="I42" s="236"/>
      <c r="J42" s="236"/>
      <c r="K42" s="92"/>
      <c r="L42" s="96"/>
      <c r="M42" s="96"/>
    </row>
    <row r="43" spans="1:13" x14ac:dyDescent="0.2">
      <c r="A43" s="236"/>
      <c r="B43" s="236"/>
      <c r="C43" s="236"/>
      <c r="D43" s="236"/>
      <c r="E43" s="236"/>
      <c r="F43" s="236"/>
      <c r="G43" s="236"/>
      <c r="H43" s="236"/>
      <c r="I43" s="236"/>
      <c r="J43" s="236"/>
      <c r="K43" s="92"/>
      <c r="L43" s="92"/>
      <c r="M43" s="92"/>
    </row>
    <row r="44" spans="1:13" x14ac:dyDescent="0.2">
      <c r="A44" s="236"/>
      <c r="B44" s="236"/>
      <c r="C44" s="236"/>
      <c r="D44" s="236"/>
      <c r="E44" s="236"/>
      <c r="F44" s="236"/>
      <c r="G44" s="236"/>
      <c r="H44" s="236"/>
      <c r="I44" s="236"/>
      <c r="J44" s="236"/>
      <c r="K44" s="92"/>
      <c r="L44" s="92"/>
      <c r="M44" s="92"/>
    </row>
    <row r="45" spans="1:13" x14ac:dyDescent="0.2">
      <c r="A45" s="236"/>
      <c r="B45" s="236"/>
      <c r="C45" s="236"/>
      <c r="D45" s="236"/>
      <c r="E45" s="236"/>
      <c r="F45" s="236"/>
      <c r="G45" s="236"/>
      <c r="H45" s="236"/>
      <c r="I45" s="236"/>
      <c r="J45" s="236"/>
      <c r="K45" s="92"/>
      <c r="L45" s="92"/>
      <c r="M45" s="92"/>
    </row>
    <row r="46" spans="1:13" x14ac:dyDescent="0.2">
      <c r="A46" s="236"/>
      <c r="B46" s="236"/>
      <c r="C46" s="236"/>
      <c r="D46" s="236"/>
      <c r="E46" s="236"/>
      <c r="F46" s="236"/>
      <c r="G46" s="236"/>
      <c r="H46" s="236"/>
      <c r="I46" s="236"/>
      <c r="J46" s="236"/>
      <c r="K46" s="92"/>
      <c r="L46" s="92"/>
      <c r="M46" s="92"/>
    </row>
    <row r="47" spans="1:13" s="568" customFormat="1" x14ac:dyDescent="0.2">
      <c r="A47" s="236"/>
      <c r="B47" s="236"/>
      <c r="C47" s="236"/>
      <c r="D47" s="236"/>
      <c r="E47" s="236"/>
      <c r="F47" s="236"/>
      <c r="G47" s="236"/>
      <c r="H47" s="236"/>
      <c r="I47" s="236"/>
      <c r="J47" s="236"/>
      <c r="K47" s="92"/>
      <c r="L47" s="96"/>
      <c r="M47" s="96"/>
    </row>
    <row r="48" spans="1:13" x14ac:dyDescent="0.2">
      <c r="A48" s="236"/>
      <c r="B48" s="236"/>
      <c r="C48" s="236"/>
      <c r="D48" s="236"/>
      <c r="E48" s="236"/>
      <c r="F48" s="236"/>
      <c r="G48" s="236"/>
      <c r="H48" s="236"/>
      <c r="I48" s="236"/>
      <c r="J48" s="236"/>
      <c r="K48" s="92"/>
      <c r="L48" s="92"/>
      <c r="M48" s="92"/>
    </row>
    <row r="49" spans="1:13" x14ac:dyDescent="0.2">
      <c r="A49" s="236"/>
      <c r="B49" s="236"/>
      <c r="C49" s="236"/>
      <c r="D49" s="236"/>
      <c r="E49" s="236"/>
      <c r="F49" s="236"/>
      <c r="G49" s="236"/>
      <c r="H49" s="236"/>
      <c r="I49" s="236"/>
      <c r="J49" s="236"/>
      <c r="K49" s="92"/>
      <c r="L49" s="92"/>
      <c r="M49" s="92"/>
    </row>
    <row r="50" spans="1:13" x14ac:dyDescent="0.2">
      <c r="A50" s="236"/>
      <c r="B50" s="236"/>
      <c r="C50" s="236"/>
      <c r="D50" s="236"/>
      <c r="E50" s="236"/>
      <c r="F50" s="236"/>
      <c r="G50" s="236"/>
      <c r="H50" s="236"/>
      <c r="I50" s="236"/>
      <c r="J50" s="236"/>
      <c r="K50" s="92"/>
      <c r="L50" s="92"/>
      <c r="M50" s="92"/>
    </row>
    <row r="51" spans="1:13" x14ac:dyDescent="0.2">
      <c r="A51" s="236"/>
      <c r="B51" s="236"/>
      <c r="C51" s="236"/>
      <c r="D51" s="236"/>
      <c r="E51" s="236"/>
      <c r="F51" s="236"/>
      <c r="G51" s="236"/>
      <c r="H51" s="236"/>
      <c r="I51" s="236"/>
      <c r="J51" s="236"/>
      <c r="K51" s="92"/>
      <c r="L51" s="92"/>
      <c r="M51" s="92"/>
    </row>
    <row r="52" spans="1:13" x14ac:dyDescent="0.2">
      <c r="A52" s="236"/>
      <c r="B52" s="236"/>
      <c r="C52" s="236"/>
      <c r="D52" s="236"/>
      <c r="E52" s="236"/>
      <c r="F52" s="236"/>
      <c r="G52" s="236"/>
      <c r="H52" s="236"/>
      <c r="I52" s="236"/>
      <c r="J52" s="236"/>
      <c r="K52" s="92"/>
      <c r="L52" s="92"/>
      <c r="M52" s="92"/>
    </row>
    <row r="53" spans="1:13" x14ac:dyDescent="0.2">
      <c r="A53" s="236"/>
      <c r="B53" s="236"/>
      <c r="C53" s="236"/>
      <c r="D53" s="236"/>
      <c r="E53" s="236"/>
      <c r="F53" s="236"/>
      <c r="G53" s="236"/>
      <c r="H53" s="236"/>
      <c r="I53" s="236"/>
      <c r="J53" s="236"/>
      <c r="K53" s="92"/>
      <c r="L53" s="92"/>
      <c r="M53" s="92"/>
    </row>
    <row r="54" spans="1:13" x14ac:dyDescent="0.2">
      <c r="A54" s="236"/>
      <c r="B54" s="236"/>
      <c r="C54" s="236"/>
      <c r="D54" s="236"/>
      <c r="E54" s="236"/>
      <c r="F54" s="236"/>
      <c r="G54" s="236"/>
      <c r="H54" s="236"/>
      <c r="I54" s="236"/>
      <c r="J54" s="236"/>
      <c r="K54" s="92"/>
      <c r="L54" s="92"/>
      <c r="M54" s="92"/>
    </row>
    <row r="55" spans="1:13" x14ac:dyDescent="0.2">
      <c r="A55" s="236"/>
      <c r="B55" s="236"/>
      <c r="C55" s="236"/>
      <c r="D55" s="236"/>
      <c r="E55" s="236"/>
      <c r="F55" s="236"/>
      <c r="G55" s="236"/>
      <c r="H55" s="236"/>
      <c r="I55" s="236"/>
      <c r="J55" s="236"/>
      <c r="K55" s="92"/>
      <c r="L55" s="92"/>
      <c r="M55" s="92"/>
    </row>
    <row r="56" spans="1:13" x14ac:dyDescent="0.2">
      <c r="A56" s="236"/>
      <c r="B56" s="236"/>
      <c r="C56" s="236"/>
      <c r="D56" s="236"/>
      <c r="E56" s="236"/>
      <c r="F56" s="236"/>
      <c r="G56" s="236"/>
      <c r="H56" s="236"/>
      <c r="I56" s="236"/>
      <c r="J56" s="236"/>
      <c r="K56" s="92"/>
      <c r="L56" s="92"/>
      <c r="M56" s="92"/>
    </row>
    <row r="57" spans="1:13" s="568" customFormat="1" x14ac:dyDescent="0.2">
      <c r="A57" s="236"/>
      <c r="B57" s="236"/>
      <c r="C57" s="236"/>
      <c r="D57" s="236"/>
      <c r="E57" s="236"/>
      <c r="F57" s="236"/>
      <c r="G57" s="236"/>
      <c r="H57" s="236"/>
      <c r="I57" s="236"/>
      <c r="J57" s="236"/>
      <c r="K57" s="92"/>
      <c r="L57" s="96"/>
      <c r="M57" s="96"/>
    </row>
    <row r="58" spans="1:13" x14ac:dyDescent="0.2">
      <c r="A58" s="236"/>
      <c r="B58" s="236"/>
      <c r="C58" s="236"/>
      <c r="D58" s="236"/>
      <c r="E58" s="236"/>
      <c r="F58" s="236"/>
      <c r="G58" s="236"/>
      <c r="H58" s="236"/>
      <c r="I58" s="236"/>
      <c r="J58" s="236"/>
      <c r="K58" s="92"/>
      <c r="L58" s="92"/>
      <c r="M58" s="92"/>
    </row>
    <row r="59" spans="1:13" x14ac:dyDescent="0.2">
      <c r="A59" s="56"/>
      <c r="B59" s="56"/>
      <c r="C59" s="56"/>
      <c r="D59" s="56"/>
      <c r="E59" s="56"/>
      <c r="F59" s="56"/>
      <c r="G59" s="56"/>
      <c r="H59" s="56"/>
      <c r="I59" s="56"/>
      <c r="J59" s="56"/>
    </row>
    <row r="60" spans="1:13" x14ac:dyDescent="0.2">
      <c r="A60" s="56"/>
      <c r="B60" s="56"/>
      <c r="C60" s="56"/>
      <c r="D60" s="56"/>
      <c r="E60" s="56"/>
      <c r="F60" s="56"/>
      <c r="G60" s="56"/>
      <c r="H60" s="56"/>
      <c r="I60" s="56"/>
      <c r="J60" s="56"/>
    </row>
    <row r="61" spans="1:13" x14ac:dyDescent="0.2">
      <c r="A61" s="56"/>
      <c r="B61" s="56"/>
      <c r="C61" s="56"/>
      <c r="D61" s="56"/>
      <c r="E61" s="56"/>
      <c r="F61" s="56"/>
      <c r="G61" s="56"/>
      <c r="H61" s="56"/>
      <c r="I61" s="56"/>
      <c r="J61" s="56"/>
    </row>
    <row r="62" spans="1:13" x14ac:dyDescent="0.2">
      <c r="A62" s="56"/>
      <c r="B62" s="56"/>
      <c r="C62" s="56"/>
      <c r="D62" s="56"/>
      <c r="E62" s="56"/>
      <c r="F62" s="56"/>
      <c r="G62" s="56"/>
      <c r="H62" s="56"/>
      <c r="I62" s="56"/>
      <c r="J62" s="56"/>
    </row>
    <row r="63" spans="1:13" x14ac:dyDescent="0.2">
      <c r="A63" s="56"/>
      <c r="B63" s="56"/>
      <c r="C63" s="56"/>
      <c r="D63" s="56"/>
      <c r="E63" s="56"/>
      <c r="F63" s="56"/>
      <c r="G63" s="56"/>
      <c r="H63" s="56"/>
      <c r="I63" s="56"/>
      <c r="J63" s="56"/>
    </row>
    <row r="64" spans="1:13" x14ac:dyDescent="0.2">
      <c r="A64" s="56"/>
      <c r="B64" s="56"/>
      <c r="C64" s="56"/>
      <c r="D64" s="56"/>
      <c r="E64" s="56"/>
      <c r="F64" s="56"/>
      <c r="G64" s="56"/>
      <c r="H64" s="56"/>
      <c r="I64" s="56"/>
      <c r="J64" s="56"/>
    </row>
    <row r="65" spans="1:10" x14ac:dyDescent="0.2">
      <c r="A65" s="56"/>
      <c r="B65" s="56"/>
      <c r="C65" s="56"/>
      <c r="D65" s="56"/>
      <c r="E65" s="56"/>
      <c r="F65" s="56"/>
      <c r="G65" s="56"/>
      <c r="H65" s="56"/>
      <c r="I65" s="56"/>
      <c r="J65" s="56"/>
    </row>
    <row r="66" spans="1:10" x14ac:dyDescent="0.2">
      <c r="A66" s="56"/>
      <c r="B66" s="56"/>
      <c r="C66" s="56"/>
      <c r="D66" s="56"/>
      <c r="E66" s="56"/>
      <c r="F66" s="56"/>
      <c r="G66" s="56"/>
      <c r="H66" s="56"/>
      <c r="I66" s="56"/>
      <c r="J66" s="56"/>
    </row>
    <row r="67" spans="1:10" x14ac:dyDescent="0.2">
      <c r="A67" s="56"/>
      <c r="B67" s="56"/>
      <c r="C67" s="56"/>
      <c r="D67" s="56"/>
      <c r="E67" s="56"/>
      <c r="F67" s="56"/>
      <c r="G67" s="56"/>
      <c r="H67" s="56"/>
      <c r="I67" s="56"/>
      <c r="J67" s="56"/>
    </row>
    <row r="68" spans="1:10" x14ac:dyDescent="0.2">
      <c r="A68" s="56"/>
      <c r="B68" s="56"/>
      <c r="C68" s="56"/>
      <c r="D68" s="56"/>
      <c r="E68" s="56"/>
      <c r="F68" s="56"/>
      <c r="G68" s="56"/>
      <c r="H68" s="56"/>
      <c r="I68" s="56"/>
      <c r="J68" s="56"/>
    </row>
    <row r="69" spans="1:10" x14ac:dyDescent="0.2">
      <c r="A69" s="56"/>
      <c r="B69" s="56"/>
      <c r="C69" s="56"/>
      <c r="D69" s="56"/>
      <c r="E69" s="56"/>
      <c r="F69" s="56"/>
      <c r="G69" s="56"/>
      <c r="H69" s="56"/>
      <c r="I69" s="56"/>
      <c r="J69" s="56"/>
    </row>
    <row r="70" spans="1:10" x14ac:dyDescent="0.2">
      <c r="A70" s="56"/>
      <c r="B70" s="56"/>
      <c r="C70" s="56"/>
      <c r="D70" s="56"/>
      <c r="E70" s="56"/>
      <c r="F70" s="56"/>
      <c r="G70" s="56"/>
      <c r="H70" s="56"/>
      <c r="I70" s="56"/>
      <c r="J70" s="56"/>
    </row>
    <row r="71" spans="1:10" x14ac:dyDescent="0.2">
      <c r="A71" s="56"/>
      <c r="B71" s="56"/>
      <c r="C71" s="56"/>
      <c r="D71" s="56"/>
      <c r="E71" s="56"/>
      <c r="F71" s="56"/>
      <c r="G71" s="56"/>
      <c r="H71" s="56"/>
      <c r="I71" s="56"/>
      <c r="J71" s="56"/>
    </row>
    <row r="72" spans="1:10" x14ac:dyDescent="0.2">
      <c r="A72" s="56"/>
      <c r="B72" s="56"/>
      <c r="C72" s="56"/>
      <c r="D72" s="56"/>
      <c r="E72" s="56"/>
      <c r="F72" s="56"/>
      <c r="G72" s="56"/>
      <c r="H72" s="56"/>
      <c r="I72" s="56"/>
      <c r="J72" s="56"/>
    </row>
    <row r="73" spans="1:10" x14ac:dyDescent="0.2">
      <c r="A73" s="56"/>
      <c r="B73" s="56"/>
      <c r="C73" s="56"/>
      <c r="D73" s="56"/>
      <c r="E73" s="56"/>
      <c r="F73" s="56"/>
      <c r="G73" s="56"/>
      <c r="H73" s="56"/>
      <c r="I73" s="56"/>
      <c r="J73" s="56"/>
    </row>
    <row r="74" spans="1:10" x14ac:dyDescent="0.2">
      <c r="A74" s="56"/>
      <c r="B74" s="56"/>
      <c r="C74" s="56"/>
      <c r="D74" s="56"/>
      <c r="E74" s="56"/>
      <c r="F74" s="56"/>
      <c r="G74" s="56"/>
      <c r="H74" s="56"/>
      <c r="I74" s="56"/>
      <c r="J74" s="56"/>
    </row>
    <row r="75" spans="1:10" x14ac:dyDescent="0.2">
      <c r="A75" s="56"/>
      <c r="B75" s="56"/>
      <c r="C75" s="56"/>
      <c r="D75" s="56"/>
      <c r="E75" s="56"/>
      <c r="F75" s="56"/>
      <c r="G75" s="56"/>
      <c r="H75" s="56"/>
      <c r="I75" s="56"/>
      <c r="J75" s="56"/>
    </row>
    <row r="76" spans="1:10" x14ac:dyDescent="0.2">
      <c r="A76" s="56"/>
      <c r="B76" s="56"/>
      <c r="C76" s="56"/>
      <c r="D76" s="56"/>
      <c r="E76" s="56"/>
      <c r="F76" s="56"/>
      <c r="G76" s="56"/>
      <c r="H76" s="56"/>
      <c r="I76" s="56"/>
      <c r="J76" s="56"/>
    </row>
    <row r="77" spans="1:10" x14ac:dyDescent="0.2">
      <c r="A77" s="56"/>
      <c r="B77" s="56"/>
      <c r="C77" s="56"/>
      <c r="D77" s="56"/>
      <c r="E77" s="56"/>
      <c r="F77" s="56"/>
      <c r="G77" s="56"/>
      <c r="H77" s="56"/>
      <c r="I77" s="56"/>
      <c r="J77" s="56"/>
    </row>
    <row r="78" spans="1:10" x14ac:dyDescent="0.2">
      <c r="A78" s="56"/>
      <c r="B78" s="56"/>
      <c r="C78" s="56"/>
      <c r="D78" s="56"/>
      <c r="E78" s="56"/>
      <c r="F78" s="56"/>
      <c r="G78" s="56"/>
      <c r="H78" s="56"/>
      <c r="I78" s="56"/>
      <c r="J78" s="56"/>
    </row>
    <row r="79" spans="1:10" x14ac:dyDescent="0.2">
      <c r="A79" s="56"/>
      <c r="B79" s="56"/>
      <c r="C79" s="56"/>
      <c r="D79" s="56"/>
      <c r="E79" s="56"/>
      <c r="F79" s="56"/>
      <c r="G79" s="56"/>
      <c r="H79" s="56"/>
      <c r="I79" s="56"/>
      <c r="J79" s="56"/>
    </row>
    <row r="80" spans="1:10" x14ac:dyDescent="0.2">
      <c r="A80" s="56"/>
      <c r="B80" s="56"/>
      <c r="C80" s="56"/>
      <c r="D80" s="56"/>
      <c r="E80" s="56"/>
      <c r="F80" s="56"/>
      <c r="G80" s="56"/>
      <c r="H80" s="56"/>
      <c r="I80" s="56"/>
      <c r="J80" s="56"/>
    </row>
    <row r="81" spans="1:10" x14ac:dyDescent="0.2">
      <c r="A81" s="56"/>
      <c r="B81" s="56"/>
      <c r="C81" s="56"/>
      <c r="D81" s="56"/>
      <c r="E81" s="56"/>
      <c r="F81" s="56"/>
      <c r="G81" s="56"/>
      <c r="H81" s="56"/>
      <c r="I81" s="56"/>
      <c r="J81" s="56"/>
    </row>
    <row r="82" spans="1:10" x14ac:dyDescent="0.2">
      <c r="A82" s="56"/>
      <c r="B82" s="56"/>
      <c r="C82" s="56"/>
      <c r="D82" s="56"/>
      <c r="E82" s="56"/>
      <c r="F82" s="56"/>
      <c r="G82" s="56"/>
      <c r="H82" s="56"/>
      <c r="I82" s="56"/>
      <c r="J82" s="56"/>
    </row>
    <row r="83" spans="1:10" x14ac:dyDescent="0.2">
      <c r="A83" s="56"/>
      <c r="B83" s="56"/>
      <c r="C83" s="56"/>
      <c r="D83" s="56"/>
      <c r="E83" s="56"/>
      <c r="F83" s="56"/>
      <c r="G83" s="56"/>
      <c r="H83" s="56"/>
      <c r="I83" s="56"/>
      <c r="J83" s="56"/>
    </row>
    <row r="84" spans="1:10" x14ac:dyDescent="0.2">
      <c r="A84" s="56"/>
      <c r="B84" s="56"/>
      <c r="C84" s="56"/>
      <c r="D84" s="56"/>
      <c r="E84" s="56"/>
      <c r="F84" s="56"/>
      <c r="G84" s="56"/>
      <c r="H84" s="56"/>
      <c r="I84" s="56"/>
      <c r="J84" s="56"/>
    </row>
    <row r="85" spans="1:10" x14ac:dyDescent="0.2">
      <c r="A85" s="56"/>
      <c r="B85" s="56"/>
      <c r="C85" s="56"/>
      <c r="D85" s="56"/>
      <c r="E85" s="56"/>
      <c r="F85" s="56"/>
      <c r="G85" s="56"/>
      <c r="H85" s="56"/>
      <c r="I85" s="56"/>
      <c r="J85" s="56"/>
    </row>
    <row r="86" spans="1:10" x14ac:dyDescent="0.2">
      <c r="A86" s="56"/>
      <c r="B86" s="56"/>
      <c r="C86" s="56"/>
      <c r="D86" s="56"/>
      <c r="E86" s="56"/>
      <c r="F86" s="56"/>
      <c r="G86" s="56"/>
      <c r="H86" s="56"/>
      <c r="I86" s="56"/>
      <c r="J86" s="56"/>
    </row>
    <row r="87" spans="1:10" x14ac:dyDescent="0.2">
      <c r="A87" s="56"/>
      <c r="B87" s="56"/>
      <c r="C87" s="56"/>
      <c r="D87" s="56"/>
      <c r="E87" s="56"/>
      <c r="F87" s="56"/>
      <c r="G87" s="56"/>
      <c r="H87" s="56"/>
      <c r="I87" s="56"/>
      <c r="J87" s="56"/>
    </row>
    <row r="88" spans="1:10" x14ac:dyDescent="0.2">
      <c r="A88" s="56"/>
      <c r="B88" s="56"/>
      <c r="C88" s="56"/>
      <c r="D88" s="56"/>
      <c r="E88" s="56"/>
      <c r="F88" s="56"/>
      <c r="G88" s="56"/>
      <c r="H88" s="56"/>
      <c r="I88" s="56"/>
      <c r="J88" s="56"/>
    </row>
    <row r="89" spans="1:10" x14ac:dyDescent="0.2">
      <c r="A89" s="56"/>
      <c r="B89" s="56"/>
      <c r="C89" s="56"/>
      <c r="D89" s="56"/>
      <c r="E89" s="56"/>
      <c r="F89" s="56"/>
      <c r="G89" s="56"/>
      <c r="H89" s="56"/>
      <c r="I89" s="56"/>
      <c r="J89" s="56"/>
    </row>
    <row r="90" spans="1:10" x14ac:dyDescent="0.2">
      <c r="A90" s="56"/>
      <c r="B90" s="56"/>
      <c r="C90" s="56"/>
      <c r="D90" s="56"/>
      <c r="E90" s="56"/>
      <c r="F90" s="56"/>
      <c r="G90" s="56"/>
      <c r="H90" s="56"/>
      <c r="I90" s="56"/>
      <c r="J90" s="56"/>
    </row>
    <row r="91" spans="1:10" x14ac:dyDescent="0.2">
      <c r="A91" s="56"/>
      <c r="B91" s="56"/>
      <c r="C91" s="56"/>
      <c r="D91" s="56"/>
      <c r="E91" s="56"/>
      <c r="F91" s="56"/>
      <c r="G91" s="56"/>
      <c r="H91" s="56"/>
      <c r="I91" s="56"/>
      <c r="J91" s="56"/>
    </row>
    <row r="92" spans="1:10" x14ac:dyDescent="0.2">
      <c r="A92" s="56"/>
      <c r="B92" s="56"/>
      <c r="C92" s="56"/>
      <c r="D92" s="56"/>
      <c r="E92" s="56"/>
      <c r="F92" s="56"/>
      <c r="G92" s="56"/>
      <c r="H92" s="56"/>
      <c r="I92" s="56"/>
      <c r="J92" s="56"/>
    </row>
    <row r="93" spans="1:10" x14ac:dyDescent="0.2">
      <c r="A93" s="56"/>
      <c r="B93" s="56"/>
      <c r="C93" s="56"/>
      <c r="D93" s="56"/>
      <c r="E93" s="56"/>
      <c r="F93" s="56"/>
      <c r="G93" s="56"/>
      <c r="H93" s="56"/>
      <c r="I93" s="56"/>
      <c r="J93" s="56"/>
    </row>
    <row r="94" spans="1:10" x14ac:dyDescent="0.2">
      <c r="A94" s="56"/>
      <c r="B94" s="56"/>
      <c r="C94" s="56"/>
      <c r="D94" s="56"/>
      <c r="E94" s="56"/>
      <c r="F94" s="56"/>
      <c r="G94" s="56"/>
      <c r="H94" s="56"/>
      <c r="I94" s="56"/>
      <c r="J94" s="56"/>
    </row>
    <row r="95" spans="1:10" x14ac:dyDescent="0.2">
      <c r="A95" s="56"/>
      <c r="B95" s="56"/>
      <c r="C95" s="56"/>
      <c r="D95" s="56"/>
      <c r="E95" s="56"/>
      <c r="F95" s="56"/>
      <c r="G95" s="56"/>
      <c r="H95" s="56"/>
      <c r="I95" s="56"/>
      <c r="J95" s="56"/>
    </row>
    <row r="96" spans="1:10" x14ac:dyDescent="0.2">
      <c r="A96" s="56"/>
      <c r="B96" s="56"/>
      <c r="C96" s="56"/>
      <c r="D96" s="56"/>
      <c r="E96" s="56"/>
      <c r="F96" s="56"/>
      <c r="G96" s="56"/>
      <c r="H96" s="56"/>
      <c r="I96" s="56"/>
      <c r="J96" s="56"/>
    </row>
    <row r="97" spans="1:10" x14ac:dyDescent="0.2">
      <c r="A97" s="56"/>
      <c r="B97" s="56"/>
      <c r="C97" s="56"/>
      <c r="D97" s="56"/>
      <c r="E97" s="56"/>
      <c r="F97" s="56"/>
      <c r="G97" s="56"/>
      <c r="H97" s="56"/>
      <c r="I97" s="56"/>
      <c r="J97" s="56"/>
    </row>
    <row r="98" spans="1:10" x14ac:dyDescent="0.2">
      <c r="A98" s="56"/>
      <c r="B98" s="56"/>
      <c r="C98" s="56"/>
      <c r="D98" s="56"/>
      <c r="E98" s="56"/>
      <c r="F98" s="56"/>
      <c r="G98" s="56"/>
      <c r="H98" s="56"/>
      <c r="I98" s="56"/>
      <c r="J98" s="56"/>
    </row>
    <row r="99" spans="1:10" x14ac:dyDescent="0.2">
      <c r="A99" s="56"/>
      <c r="B99" s="56"/>
      <c r="C99" s="56"/>
      <c r="D99" s="56"/>
      <c r="E99" s="56"/>
      <c r="F99" s="56"/>
      <c r="G99" s="56"/>
      <c r="H99" s="56"/>
      <c r="I99" s="56"/>
      <c r="J99" s="56"/>
    </row>
    <row r="100" spans="1:10" x14ac:dyDescent="0.2">
      <c r="A100" s="56"/>
      <c r="B100" s="56"/>
      <c r="C100" s="56"/>
      <c r="D100" s="56"/>
      <c r="E100" s="56"/>
      <c r="F100" s="56"/>
      <c r="G100" s="56"/>
      <c r="H100" s="56"/>
      <c r="I100" s="56"/>
      <c r="J100" s="56"/>
    </row>
    <row r="101" spans="1:10" x14ac:dyDescent="0.2">
      <c r="A101" s="56"/>
      <c r="B101" s="56"/>
      <c r="C101" s="56"/>
      <c r="D101" s="56"/>
      <c r="E101" s="56"/>
      <c r="F101" s="56"/>
      <c r="G101" s="56"/>
      <c r="H101" s="56"/>
      <c r="I101" s="56"/>
      <c r="J101" s="56"/>
    </row>
    <row r="102" spans="1:10" x14ac:dyDescent="0.2">
      <c r="A102" s="56"/>
      <c r="B102" s="56"/>
      <c r="C102" s="56"/>
      <c r="D102" s="56"/>
      <c r="E102" s="56"/>
      <c r="F102" s="56"/>
      <c r="G102" s="56"/>
      <c r="H102" s="56"/>
      <c r="I102" s="56"/>
      <c r="J102" s="56"/>
    </row>
    <row r="103" spans="1:10" x14ac:dyDescent="0.2">
      <c r="A103" s="56"/>
      <c r="B103" s="56"/>
      <c r="C103" s="56"/>
      <c r="D103" s="56"/>
      <c r="E103" s="56"/>
      <c r="F103" s="56"/>
      <c r="G103" s="56"/>
      <c r="H103" s="56"/>
      <c r="I103" s="56"/>
      <c r="J103" s="56"/>
    </row>
    <row r="104" spans="1:10" x14ac:dyDescent="0.2">
      <c r="A104" s="56"/>
      <c r="B104" s="56"/>
      <c r="C104" s="56"/>
      <c r="D104" s="56"/>
      <c r="E104" s="56"/>
      <c r="F104" s="56"/>
      <c r="G104" s="56"/>
      <c r="H104" s="56"/>
      <c r="I104" s="56"/>
      <c r="J104" s="56"/>
    </row>
    <row r="105" spans="1:10" x14ac:dyDescent="0.2">
      <c r="A105" s="56"/>
      <c r="B105" s="56"/>
      <c r="C105" s="56"/>
      <c r="D105" s="56"/>
      <c r="E105" s="56"/>
      <c r="F105" s="56"/>
      <c r="G105" s="56"/>
      <c r="H105" s="56"/>
      <c r="I105" s="56"/>
      <c r="J105" s="56"/>
    </row>
    <row r="106" spans="1:10" x14ac:dyDescent="0.2">
      <c r="A106" s="56"/>
      <c r="B106" s="56"/>
      <c r="C106" s="56"/>
      <c r="D106" s="56"/>
      <c r="E106" s="56"/>
      <c r="F106" s="56"/>
      <c r="G106" s="56"/>
      <c r="H106" s="56"/>
      <c r="I106" s="56"/>
      <c r="J106" s="56"/>
    </row>
    <row r="107" spans="1:10" x14ac:dyDescent="0.2">
      <c r="A107" s="56"/>
      <c r="B107" s="56"/>
      <c r="C107" s="56"/>
      <c r="D107" s="56"/>
      <c r="E107" s="56"/>
      <c r="F107" s="56"/>
      <c r="G107" s="56"/>
      <c r="H107" s="56"/>
      <c r="I107" s="56"/>
      <c r="J107" s="56"/>
    </row>
    <row r="108" spans="1:10" x14ac:dyDescent="0.2">
      <c r="A108" s="56"/>
      <c r="B108" s="56"/>
      <c r="C108" s="56"/>
      <c r="D108" s="56"/>
      <c r="E108" s="56"/>
      <c r="F108" s="56"/>
      <c r="G108" s="56"/>
      <c r="H108" s="56"/>
      <c r="I108" s="56"/>
      <c r="J108" s="56"/>
    </row>
    <row r="109" spans="1:10" x14ac:dyDescent="0.2">
      <c r="A109" s="56"/>
      <c r="B109" s="56"/>
      <c r="C109" s="56"/>
      <c r="D109" s="56"/>
      <c r="E109" s="56"/>
      <c r="F109" s="56"/>
      <c r="G109" s="56"/>
      <c r="H109" s="56"/>
      <c r="I109" s="56"/>
      <c r="J109" s="56"/>
    </row>
    <row r="110" spans="1:10" x14ac:dyDescent="0.2">
      <c r="A110" s="56"/>
      <c r="B110" s="56"/>
      <c r="C110" s="56"/>
      <c r="D110" s="56"/>
      <c r="E110" s="56"/>
      <c r="F110" s="56"/>
      <c r="G110" s="56"/>
      <c r="H110" s="56"/>
      <c r="I110" s="56"/>
      <c r="J110" s="56"/>
    </row>
    <row r="111" spans="1:10" x14ac:dyDescent="0.2">
      <c r="A111" s="56"/>
      <c r="B111" s="56"/>
      <c r="C111" s="56"/>
      <c r="D111" s="56"/>
      <c r="E111" s="56"/>
      <c r="F111" s="56"/>
      <c r="G111" s="56"/>
      <c r="H111" s="56"/>
      <c r="I111" s="56"/>
      <c r="J111" s="56"/>
    </row>
    <row r="112" spans="1:10" x14ac:dyDescent="0.2">
      <c r="A112" s="56"/>
      <c r="B112" s="56"/>
      <c r="C112" s="56"/>
      <c r="D112" s="56"/>
      <c r="E112" s="56"/>
      <c r="F112" s="56"/>
      <c r="G112" s="56"/>
      <c r="H112" s="56"/>
      <c r="I112" s="56"/>
      <c r="J112" s="56"/>
    </row>
    <row r="113" spans="1:10" x14ac:dyDescent="0.2">
      <c r="A113" s="56"/>
      <c r="B113" s="56"/>
      <c r="C113" s="56"/>
      <c r="D113" s="56"/>
      <c r="E113" s="56"/>
      <c r="F113" s="56"/>
      <c r="G113" s="56"/>
      <c r="H113" s="56"/>
      <c r="I113" s="56"/>
      <c r="J113" s="56"/>
    </row>
    <row r="114" spans="1:10" x14ac:dyDescent="0.2">
      <c r="A114" s="56"/>
      <c r="B114" s="56"/>
      <c r="C114" s="56"/>
      <c r="D114" s="56"/>
      <c r="E114" s="56"/>
      <c r="F114" s="56"/>
      <c r="G114" s="56"/>
      <c r="H114" s="56"/>
      <c r="I114" s="56"/>
      <c r="J114" s="56"/>
    </row>
    <row r="115" spans="1:10" x14ac:dyDescent="0.2">
      <c r="A115" s="56"/>
      <c r="B115" s="56"/>
      <c r="C115" s="56"/>
      <c r="D115" s="56"/>
      <c r="E115" s="56"/>
      <c r="F115" s="56"/>
      <c r="G115" s="56"/>
      <c r="H115" s="56"/>
      <c r="I115" s="56"/>
      <c r="J115" s="56"/>
    </row>
    <row r="116" spans="1:10" x14ac:dyDescent="0.2">
      <c r="A116" s="56"/>
      <c r="B116" s="56"/>
      <c r="C116" s="56"/>
      <c r="D116" s="56"/>
      <c r="E116" s="56"/>
      <c r="F116" s="56"/>
      <c r="G116" s="56"/>
      <c r="H116" s="56"/>
      <c r="I116" s="56"/>
      <c r="J116" s="56"/>
    </row>
    <row r="117" spans="1:10" x14ac:dyDescent="0.2">
      <c r="A117" s="56"/>
      <c r="B117" s="56"/>
      <c r="C117" s="56"/>
      <c r="D117" s="56"/>
      <c r="E117" s="56"/>
      <c r="F117" s="56"/>
      <c r="G117" s="56"/>
      <c r="H117" s="56"/>
      <c r="I117" s="56"/>
      <c r="J117" s="56"/>
    </row>
    <row r="118" spans="1:10" x14ac:dyDescent="0.2">
      <c r="A118" s="56"/>
      <c r="B118" s="56"/>
      <c r="C118" s="56"/>
      <c r="D118" s="56"/>
      <c r="E118" s="56"/>
      <c r="F118" s="56"/>
      <c r="G118" s="56"/>
      <c r="H118" s="56"/>
      <c r="I118" s="56"/>
      <c r="J118" s="56"/>
    </row>
    <row r="119" spans="1:10" x14ac:dyDescent="0.2">
      <c r="A119" s="56"/>
      <c r="B119" s="56"/>
      <c r="C119" s="56"/>
      <c r="D119" s="56"/>
      <c r="E119" s="56"/>
      <c r="F119" s="56"/>
      <c r="G119" s="56"/>
      <c r="H119" s="56"/>
      <c r="I119" s="56"/>
      <c r="J119" s="56"/>
    </row>
    <row r="120" spans="1:10" x14ac:dyDescent="0.2">
      <c r="A120" s="56"/>
      <c r="B120" s="56"/>
      <c r="C120" s="56"/>
      <c r="D120" s="56"/>
      <c r="E120" s="56"/>
      <c r="F120" s="56"/>
      <c r="G120" s="56"/>
      <c r="H120" s="56"/>
      <c r="I120" s="56"/>
      <c r="J120" s="56"/>
    </row>
    <row r="121" spans="1:10" x14ac:dyDescent="0.2">
      <c r="A121" s="56"/>
      <c r="B121" s="56"/>
      <c r="C121" s="56"/>
      <c r="D121" s="56"/>
      <c r="E121" s="56"/>
      <c r="F121" s="56"/>
      <c r="G121" s="56"/>
      <c r="H121" s="56"/>
      <c r="I121" s="56"/>
      <c r="J121" s="56"/>
    </row>
    <row r="122" spans="1:10" x14ac:dyDescent="0.2">
      <c r="A122" s="56"/>
      <c r="B122" s="56"/>
      <c r="C122" s="56"/>
      <c r="D122" s="56"/>
      <c r="E122" s="56"/>
      <c r="F122" s="56"/>
      <c r="G122" s="56"/>
      <c r="H122" s="56"/>
      <c r="I122" s="56"/>
      <c r="J122" s="56"/>
    </row>
    <row r="123" spans="1:10" x14ac:dyDescent="0.2">
      <c r="A123" s="56"/>
      <c r="B123" s="56"/>
      <c r="C123" s="56"/>
      <c r="D123" s="56"/>
      <c r="E123" s="56"/>
      <c r="F123" s="56"/>
      <c r="G123" s="56"/>
      <c r="H123" s="56"/>
      <c r="I123" s="56"/>
      <c r="J123" s="56"/>
    </row>
    <row r="124" spans="1:10" x14ac:dyDescent="0.2">
      <c r="A124" s="56"/>
      <c r="B124" s="56"/>
      <c r="C124" s="56"/>
      <c r="D124" s="56"/>
      <c r="E124" s="56"/>
      <c r="F124" s="56"/>
      <c r="G124" s="56"/>
      <c r="H124" s="56"/>
      <c r="I124" s="56"/>
      <c r="J124" s="56"/>
    </row>
    <row r="125" spans="1:10" x14ac:dyDescent="0.2">
      <c r="A125" s="56"/>
      <c r="B125" s="56"/>
      <c r="C125" s="56"/>
      <c r="D125" s="56"/>
      <c r="E125" s="56"/>
      <c r="F125" s="56"/>
      <c r="G125" s="56"/>
      <c r="H125" s="56"/>
      <c r="I125" s="56"/>
      <c r="J125" s="56"/>
    </row>
    <row r="126" spans="1:10" x14ac:dyDescent="0.2">
      <c r="A126" s="56"/>
      <c r="B126" s="56"/>
      <c r="C126" s="56"/>
      <c r="D126" s="56"/>
      <c r="E126" s="56"/>
      <c r="F126" s="56"/>
      <c r="G126" s="56"/>
      <c r="H126" s="56"/>
      <c r="I126" s="56"/>
      <c r="J126" s="56"/>
    </row>
    <row r="127" spans="1:10" x14ac:dyDescent="0.2">
      <c r="A127" s="56"/>
      <c r="B127" s="56"/>
      <c r="C127" s="56"/>
      <c r="D127" s="56"/>
      <c r="E127" s="56"/>
      <c r="F127" s="56"/>
      <c r="G127" s="56"/>
      <c r="H127" s="56"/>
      <c r="I127" s="56"/>
      <c r="J127" s="56"/>
    </row>
    <row r="128" spans="1:10" x14ac:dyDescent="0.2">
      <c r="A128" s="56"/>
      <c r="B128" s="56"/>
      <c r="C128" s="56"/>
      <c r="D128" s="56"/>
      <c r="E128" s="56"/>
      <c r="F128" s="56"/>
      <c r="G128" s="56"/>
      <c r="H128" s="56"/>
      <c r="I128" s="56"/>
      <c r="J128" s="56"/>
    </row>
    <row r="129" spans="1:10" x14ac:dyDescent="0.2">
      <c r="A129" s="56"/>
      <c r="B129" s="56"/>
      <c r="C129" s="56"/>
      <c r="D129" s="56"/>
      <c r="E129" s="56"/>
      <c r="F129" s="56"/>
      <c r="G129" s="56"/>
      <c r="H129" s="56"/>
      <c r="I129" s="56"/>
      <c r="J129" s="56"/>
    </row>
    <row r="130" spans="1:10" x14ac:dyDescent="0.2">
      <c r="A130" s="56"/>
      <c r="B130" s="56"/>
      <c r="C130" s="56"/>
      <c r="D130" s="56"/>
      <c r="E130" s="56"/>
      <c r="F130" s="56"/>
      <c r="G130" s="56"/>
      <c r="H130" s="56"/>
      <c r="I130" s="56"/>
      <c r="J130" s="56"/>
    </row>
  </sheetData>
  <sheetProtection algorithmName="SHA-512" hashValue="c5rdJswzyLLinif6dxtz5zPFSNH5rrtJaAKYgFozynTZHL37pPlqc+JhS5gEBt4erurZlG3HVhIBo9jXteN38A==" saltValue="0dBtA+uqles2z+mxVh5S8w==" spinCount="100000" sheet="1" selectLockedCells="1"/>
  <printOptions gridLines="1"/>
  <pageMargins left="0.7" right="0.7" top="0.75" bottom="0.75" header="0.3" footer="0.3"/>
  <pageSetup paperSize="3" orientation="landscape" verticalDpi="598"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dimension ref="A1:U77"/>
  <sheetViews>
    <sheetView zoomScale="90" zoomScaleNormal="90" workbookViewId="0">
      <selection activeCell="A100" sqref="A100"/>
    </sheetView>
  </sheetViews>
  <sheetFormatPr defaultColWidth="9.7109375" defaultRowHeight="10.5" x14ac:dyDescent="0.15"/>
  <cols>
    <col min="1" max="1" width="6.85546875" style="5" customWidth="1"/>
    <col min="2" max="2" width="62.7109375" style="5" customWidth="1"/>
    <col min="3" max="9" width="14.28515625" style="5" customWidth="1"/>
    <col min="10" max="12" width="12.85546875" style="5" customWidth="1"/>
    <col min="13" max="13" width="10.42578125" style="5" customWidth="1"/>
    <col min="14" max="14" width="12.85546875" style="5" customWidth="1"/>
    <col min="15" max="15" width="10.85546875" style="5" customWidth="1"/>
    <col min="16" max="16" width="11.28515625" style="5" customWidth="1"/>
    <col min="17" max="17" width="10.5703125" style="5" bestFit="1" customWidth="1"/>
    <col min="18" max="18" width="9.85546875" style="5" bestFit="1" customWidth="1"/>
    <col min="19" max="20" width="9.7109375" style="5"/>
    <col min="21" max="21" width="12.5703125" style="5" customWidth="1"/>
    <col min="22" max="23" width="9.7109375" style="5"/>
    <col min="24" max="24" width="10" style="5" bestFit="1" customWidth="1"/>
    <col min="25" max="16384" width="9.7109375" style="5"/>
  </cols>
  <sheetData>
    <row r="1" spans="1:17" s="4" customFormat="1" ht="25.5" x14ac:dyDescent="0.2">
      <c r="A1" s="263"/>
      <c r="B1" s="238" t="s">
        <v>596</v>
      </c>
      <c r="C1" s="513" t="s">
        <v>571</v>
      </c>
      <c r="D1" s="239" t="s">
        <v>528</v>
      </c>
      <c r="E1" s="239" t="s">
        <v>398</v>
      </c>
      <c r="F1" s="239" t="s">
        <v>85</v>
      </c>
      <c r="G1" s="239" t="s">
        <v>86</v>
      </c>
      <c r="H1" s="240"/>
      <c r="J1" s="241"/>
      <c r="K1" s="21"/>
      <c r="L1" s="21"/>
      <c r="M1" s="21"/>
      <c r="N1" s="21"/>
      <c r="O1" s="21"/>
      <c r="P1" s="22"/>
      <c r="Q1" s="22"/>
    </row>
    <row r="2" spans="1:17" ht="15" customHeight="1" x14ac:dyDescent="0.2">
      <c r="A2" s="263"/>
      <c r="B2" s="242" t="s">
        <v>45</v>
      </c>
      <c r="C2" s="243" t="s">
        <v>22</v>
      </c>
      <c r="D2" s="444" t="s">
        <v>532</v>
      </c>
      <c r="E2" s="243" t="s">
        <v>39</v>
      </c>
      <c r="F2" s="243" t="s">
        <v>21</v>
      </c>
      <c r="G2" s="243" t="s">
        <v>38</v>
      </c>
      <c r="H2" s="244" t="s">
        <v>57</v>
      </c>
      <c r="J2" s="124"/>
      <c r="K2" s="23"/>
      <c r="L2" s="23"/>
      <c r="M2" s="23"/>
      <c r="N2" s="23"/>
      <c r="O2" s="23"/>
      <c r="P2" s="10"/>
      <c r="Q2" s="10"/>
    </row>
    <row r="3" spans="1:17" s="10" customFormat="1" ht="15" customHeight="1" x14ac:dyDescent="0.2">
      <c r="A3" s="263"/>
      <c r="B3" s="125" t="s">
        <v>597</v>
      </c>
      <c r="C3" s="521">
        <v>2081.59</v>
      </c>
      <c r="D3" s="522">
        <v>476.34</v>
      </c>
      <c r="E3" s="521">
        <f>D3</f>
        <v>476.34</v>
      </c>
      <c r="F3" s="523">
        <v>0</v>
      </c>
      <c r="G3" s="521">
        <v>1667.23</v>
      </c>
      <c r="H3" s="524"/>
      <c r="J3" s="124"/>
      <c r="K3" s="23"/>
      <c r="L3" s="23"/>
      <c r="M3" s="23"/>
      <c r="N3" s="23"/>
      <c r="O3" s="23"/>
    </row>
    <row r="4" spans="1:17" s="10" customFormat="1" ht="15" customHeight="1" x14ac:dyDescent="0.2">
      <c r="A4" s="263"/>
      <c r="B4" s="125" t="s">
        <v>598</v>
      </c>
      <c r="C4" s="523">
        <v>1727.61</v>
      </c>
      <c r="D4" s="522">
        <v>522.82000000000005</v>
      </c>
      <c r="E4" s="525">
        <f>D4</f>
        <v>522.82000000000005</v>
      </c>
      <c r="F4" s="525">
        <v>683.43</v>
      </c>
      <c r="G4" s="523">
        <v>1325.48</v>
      </c>
      <c r="H4" s="524"/>
      <c r="J4" s="124"/>
      <c r="K4" s="23"/>
      <c r="L4" s="23"/>
      <c r="M4" s="23"/>
      <c r="N4" s="23"/>
      <c r="O4" s="23"/>
    </row>
    <row r="5" spans="1:17" s="10" customFormat="1" ht="15" customHeight="1" x14ac:dyDescent="0.2">
      <c r="A5" s="526"/>
      <c r="B5" s="527" t="s">
        <v>601</v>
      </c>
      <c r="C5" s="528">
        <f t="shared" ref="C5:E6" si="0">C7/C3</f>
        <v>1.1272200577443203</v>
      </c>
      <c r="D5" s="528">
        <f t="shared" si="0"/>
        <v>1.0595163118780704</v>
      </c>
      <c r="E5" s="528">
        <f t="shared" si="0"/>
        <v>1.0595163118780704</v>
      </c>
      <c r="F5" s="529"/>
      <c r="G5" s="528">
        <f>G7/G3</f>
        <v>1.0523323116786527</v>
      </c>
      <c r="H5" s="529"/>
      <c r="J5" s="124"/>
      <c r="K5" s="23"/>
      <c r="L5" s="23"/>
      <c r="M5" s="23"/>
      <c r="N5" s="23"/>
      <c r="O5" s="23"/>
    </row>
    <row r="6" spans="1:17" s="10" customFormat="1" ht="15" customHeight="1" x14ac:dyDescent="0.2">
      <c r="A6" s="526"/>
      <c r="B6" s="125" t="s">
        <v>602</v>
      </c>
      <c r="C6" s="530">
        <f t="shared" si="0"/>
        <v>1.0607139342791487</v>
      </c>
      <c r="D6" s="531">
        <f t="shared" si="0"/>
        <v>1.0059102559198192</v>
      </c>
      <c r="E6" s="531">
        <f t="shared" si="0"/>
        <v>1.0059102559198192</v>
      </c>
      <c r="F6" s="531">
        <f>F8/F4</f>
        <v>1.0451984841168811</v>
      </c>
      <c r="G6" s="530">
        <f>G8/G4</f>
        <v>1.057805474243293</v>
      </c>
      <c r="H6" s="532"/>
      <c r="J6" s="124"/>
      <c r="K6" s="23"/>
      <c r="L6" s="23"/>
      <c r="M6" s="23"/>
      <c r="N6" s="23"/>
      <c r="O6" s="23"/>
    </row>
    <row r="7" spans="1:17" ht="15" customHeight="1" x14ac:dyDescent="0.2">
      <c r="A7" s="263"/>
      <c r="B7" s="246" t="s">
        <v>603</v>
      </c>
      <c r="C7" s="247">
        <v>2346.41</v>
      </c>
      <c r="D7" s="445">
        <v>504.69</v>
      </c>
      <c r="E7" s="247">
        <f>D7</f>
        <v>504.69</v>
      </c>
      <c r="F7" s="248">
        <v>0</v>
      </c>
      <c r="G7" s="247">
        <v>1754.48</v>
      </c>
      <c r="H7" s="249"/>
      <c r="J7" s="124"/>
      <c r="K7" s="23"/>
      <c r="L7" s="23"/>
      <c r="M7" s="23"/>
      <c r="N7" s="23"/>
      <c r="O7" s="23"/>
      <c r="P7" s="10"/>
      <c r="Q7" s="10"/>
    </row>
    <row r="8" spans="1:17" ht="15" customHeight="1" x14ac:dyDescent="0.2">
      <c r="A8" s="263"/>
      <c r="B8" s="171" t="s">
        <v>604</v>
      </c>
      <c r="C8" s="248">
        <v>1832.5</v>
      </c>
      <c r="D8" s="445">
        <v>525.91</v>
      </c>
      <c r="E8" s="247">
        <f>D8</f>
        <v>525.91</v>
      </c>
      <c r="F8" s="247">
        <v>714.32</v>
      </c>
      <c r="G8" s="248">
        <v>1402.1</v>
      </c>
      <c r="H8" s="249"/>
      <c r="J8" s="124"/>
      <c r="K8" s="23"/>
      <c r="L8" s="23"/>
      <c r="M8" s="23"/>
      <c r="N8" s="23"/>
      <c r="O8" s="23"/>
      <c r="P8" s="10"/>
      <c r="Q8" s="10"/>
    </row>
    <row r="9" spans="1:17" ht="15" customHeight="1" x14ac:dyDescent="0.2">
      <c r="A9" s="263"/>
      <c r="B9" s="246" t="s">
        <v>599</v>
      </c>
      <c r="C9" s="250">
        <v>310.36</v>
      </c>
      <c r="D9" s="446">
        <v>274.08</v>
      </c>
      <c r="E9" s="250">
        <f>D9</f>
        <v>274.08</v>
      </c>
      <c r="F9" s="251"/>
      <c r="G9" s="250">
        <v>495.77</v>
      </c>
      <c r="H9" s="250">
        <f>AVERAGE(C9:G9)</f>
        <v>338.57249999999999</v>
      </c>
      <c r="J9" s="124"/>
      <c r="K9" s="23"/>
      <c r="L9" s="23"/>
      <c r="M9" s="23"/>
      <c r="N9" s="23"/>
      <c r="O9" s="23"/>
      <c r="P9" s="10"/>
      <c r="Q9" s="10"/>
    </row>
    <row r="10" spans="1:17" ht="15" customHeight="1" x14ac:dyDescent="0.2">
      <c r="A10" s="263"/>
      <c r="B10" s="246" t="s">
        <v>600</v>
      </c>
      <c r="C10" s="484">
        <v>127.53</v>
      </c>
      <c r="D10" s="446">
        <v>110.95</v>
      </c>
      <c r="E10" s="252">
        <f>D10</f>
        <v>110.95</v>
      </c>
      <c r="F10" s="250">
        <f>C10</f>
        <v>127.53</v>
      </c>
      <c r="G10" s="250">
        <f>C10</f>
        <v>127.53</v>
      </c>
      <c r="H10" s="250">
        <f>AVERAGE(D10:G10)</f>
        <v>119.24000000000001</v>
      </c>
      <c r="J10" s="124"/>
      <c r="K10" s="23"/>
      <c r="L10" s="23"/>
      <c r="M10" s="23"/>
      <c r="N10" s="23"/>
      <c r="O10" s="23"/>
      <c r="P10" s="10"/>
      <c r="Q10" s="10"/>
    </row>
    <row r="11" spans="1:17" x14ac:dyDescent="0.15">
      <c r="A11" s="169"/>
      <c r="B11" s="169"/>
      <c r="C11" s="169"/>
      <c r="D11" s="169"/>
      <c r="E11" s="169"/>
      <c r="F11" s="169"/>
      <c r="G11" s="169"/>
      <c r="H11" s="169"/>
      <c r="I11" s="169"/>
      <c r="J11" s="169"/>
    </row>
    <row r="12" spans="1:17" ht="12.75" x14ac:dyDescent="0.2">
      <c r="A12" s="169"/>
      <c r="B12" s="182" t="s">
        <v>605</v>
      </c>
      <c r="C12" s="124"/>
      <c r="D12" s="253"/>
      <c r="E12" s="253"/>
      <c r="F12" s="124"/>
      <c r="G12" s="124"/>
      <c r="H12" s="253"/>
      <c r="I12" s="253"/>
      <c r="J12" s="169"/>
    </row>
    <row r="13" spans="1:17" ht="12.75" x14ac:dyDescent="0.2">
      <c r="A13" s="169"/>
      <c r="B13" s="182" t="s">
        <v>606</v>
      </c>
      <c r="C13" s="124"/>
      <c r="D13" s="124"/>
      <c r="E13" s="254"/>
      <c r="F13" s="124"/>
      <c r="G13" s="124"/>
      <c r="H13" s="124"/>
      <c r="I13" s="254"/>
      <c r="J13" s="169"/>
    </row>
    <row r="14" spans="1:17" ht="12.75" x14ac:dyDescent="0.2">
      <c r="A14" s="169"/>
      <c r="B14" s="182" t="s">
        <v>607</v>
      </c>
      <c r="C14" s="255"/>
      <c r="D14" s="255"/>
      <c r="E14" s="255"/>
      <c r="F14" s="255"/>
      <c r="G14" s="255"/>
      <c r="H14" s="255"/>
      <c r="I14" s="255"/>
      <c r="J14" s="169"/>
    </row>
    <row r="15" spans="1:17" x14ac:dyDescent="0.15">
      <c r="A15" s="169"/>
      <c r="B15" s="169"/>
      <c r="C15" s="169"/>
      <c r="D15" s="169"/>
      <c r="E15" s="169"/>
      <c r="F15" s="169"/>
      <c r="G15" s="169"/>
      <c r="H15" s="169"/>
      <c r="I15" s="169"/>
      <c r="J15" s="169"/>
    </row>
    <row r="16" spans="1:17" ht="12.75" x14ac:dyDescent="0.2">
      <c r="A16" s="124"/>
      <c r="B16" s="246" t="s">
        <v>87</v>
      </c>
      <c r="C16" s="256">
        <v>0.17</v>
      </c>
      <c r="D16" s="256">
        <v>0.17</v>
      </c>
      <c r="E16" s="256">
        <v>0.17</v>
      </c>
      <c r="F16" s="257">
        <v>0.17</v>
      </c>
      <c r="G16" s="256">
        <v>0.17</v>
      </c>
      <c r="H16" s="258"/>
      <c r="I16" s="124"/>
      <c r="J16" s="23"/>
      <c r="K16" s="23"/>
      <c r="L16" s="23"/>
      <c r="M16" s="23"/>
      <c r="N16" s="23"/>
      <c r="O16" s="10"/>
      <c r="P16" s="10"/>
    </row>
    <row r="17" spans="1:21" ht="12.75" x14ac:dyDescent="0.2">
      <c r="A17" s="124"/>
      <c r="B17" s="246" t="s">
        <v>88</v>
      </c>
      <c r="C17" s="256">
        <v>0.17</v>
      </c>
      <c r="D17" s="256">
        <v>0.17</v>
      </c>
      <c r="E17" s="256">
        <v>0.17</v>
      </c>
      <c r="F17" s="256">
        <v>0.17</v>
      </c>
      <c r="G17" s="257">
        <f>17%</f>
        <v>0.17</v>
      </c>
      <c r="H17" s="258"/>
      <c r="I17" s="124"/>
      <c r="J17" s="23"/>
      <c r="K17" s="23"/>
      <c r="L17" s="23"/>
      <c r="M17" s="23"/>
      <c r="N17" s="23"/>
      <c r="O17" s="10"/>
      <c r="P17" s="10"/>
    </row>
    <row r="18" spans="1:21" ht="12.75" x14ac:dyDescent="0.2">
      <c r="A18" s="124"/>
      <c r="B18" s="99" t="s">
        <v>160</v>
      </c>
      <c r="C18" s="259"/>
      <c r="D18" s="259"/>
      <c r="E18" s="259"/>
      <c r="F18" s="259"/>
      <c r="H18" s="260">
        <f>0.17/1.17</f>
        <v>0.14529914529914531</v>
      </c>
      <c r="I18" s="261"/>
      <c r="J18" s="124"/>
      <c r="K18" s="23"/>
      <c r="L18" s="23"/>
      <c r="M18" s="23"/>
      <c r="N18" s="23"/>
      <c r="O18" s="23"/>
      <c r="P18" s="10"/>
      <c r="Q18" s="10"/>
    </row>
    <row r="19" spans="1:21" ht="12.75" x14ac:dyDescent="0.2">
      <c r="A19" s="124"/>
      <c r="B19" s="124"/>
      <c r="C19" s="259"/>
      <c r="D19" s="259"/>
      <c r="E19" s="259"/>
      <c r="F19" s="259"/>
      <c r="G19" s="262"/>
      <c r="H19" s="259"/>
      <c r="I19" s="259"/>
      <c r="J19" s="263"/>
      <c r="K19" s="23"/>
      <c r="L19" s="23"/>
      <c r="M19" s="23"/>
      <c r="N19" s="23"/>
      <c r="O19" s="23"/>
      <c r="P19" s="10"/>
      <c r="Q19" s="10"/>
    </row>
    <row r="20" spans="1:21" ht="12.75" x14ac:dyDescent="0.2">
      <c r="A20" s="124"/>
      <c r="B20" s="264"/>
      <c r="C20" s="245"/>
      <c r="D20" s="245"/>
      <c r="E20" s="245"/>
      <c r="F20" s="245"/>
      <c r="G20" s="245"/>
      <c r="H20" s="255"/>
      <c r="I20" s="255"/>
      <c r="J20" s="124"/>
      <c r="K20" s="10"/>
      <c r="L20" s="10"/>
      <c r="M20" s="10"/>
      <c r="N20" s="10"/>
      <c r="O20" s="10"/>
      <c r="P20" s="10"/>
      <c r="Q20" s="10"/>
    </row>
    <row r="21" spans="1:21" ht="12.75" hidden="1" x14ac:dyDescent="0.2">
      <c r="A21" s="132" t="s">
        <v>413</v>
      </c>
      <c r="B21" s="134"/>
      <c r="C21" s="265"/>
      <c r="D21" s="266"/>
      <c r="E21" s="131"/>
      <c r="F21" s="131"/>
      <c r="G21" s="131"/>
      <c r="H21" s="267"/>
      <c r="I21" s="268"/>
      <c r="J21" s="124"/>
      <c r="K21" s="23"/>
      <c r="L21" s="23"/>
      <c r="M21" s="23"/>
      <c r="N21" s="23"/>
      <c r="O21" s="23"/>
      <c r="P21" s="23"/>
      <c r="Q21" s="23"/>
      <c r="R21" s="28"/>
      <c r="S21" s="28"/>
      <c r="T21" s="28"/>
      <c r="U21" s="28"/>
    </row>
    <row r="22" spans="1:21" ht="25.5" hidden="1" x14ac:dyDescent="0.2">
      <c r="A22" s="281" t="s">
        <v>302</v>
      </c>
      <c r="B22" s="269" t="s">
        <v>50</v>
      </c>
      <c r="C22" s="270" t="s">
        <v>90</v>
      </c>
      <c r="D22" s="281" t="s">
        <v>98</v>
      </c>
      <c r="E22" s="271" t="s">
        <v>91</v>
      </c>
      <c r="F22" s="271" t="s">
        <v>92</v>
      </c>
      <c r="G22" s="272" t="s">
        <v>97</v>
      </c>
      <c r="H22" s="271" t="s">
        <v>93</v>
      </c>
      <c r="I22" s="272" t="s">
        <v>94</v>
      </c>
      <c r="J22" s="271" t="s">
        <v>95</v>
      </c>
      <c r="K22" s="30" t="s">
        <v>96</v>
      </c>
      <c r="L22" s="25"/>
      <c r="M22" s="23"/>
      <c r="N22" s="23"/>
      <c r="O22" s="23"/>
      <c r="P22" s="23"/>
      <c r="Q22" s="23"/>
      <c r="R22" s="28"/>
      <c r="S22" s="28"/>
      <c r="T22" s="28"/>
      <c r="U22" s="28"/>
    </row>
    <row r="23" spans="1:21" ht="12.75" hidden="1" x14ac:dyDescent="0.2">
      <c r="A23" s="282">
        <f>'Input Pg1'!C54*'Input Pg1'!D54</f>
        <v>0</v>
      </c>
      <c r="B23" s="279" t="str">
        <f>'Input Pg1'!B54</f>
        <v>OG SS 18.0+ DIB sawlog</v>
      </c>
      <c r="C23" s="274">
        <v>1</v>
      </c>
      <c r="D23" s="275">
        <f>C3*C5*C23*A23</f>
        <v>0</v>
      </c>
      <c r="E23" s="278">
        <v>1</v>
      </c>
      <c r="F23" s="275">
        <f>C9*E23*A23</f>
        <v>0</v>
      </c>
      <c r="G23" s="276">
        <f>'Input Pg1'!C54*'Input Pg1'!E54</f>
        <v>0</v>
      </c>
      <c r="H23" s="274">
        <v>1</v>
      </c>
      <c r="I23" s="280">
        <f>C4*C6*H23*G23</f>
        <v>0</v>
      </c>
      <c r="J23" s="277">
        <v>1</v>
      </c>
      <c r="K23" s="31">
        <f>C10*J23*G23</f>
        <v>0</v>
      </c>
      <c r="L23" s="29"/>
      <c r="M23" s="23"/>
      <c r="N23" s="23"/>
      <c r="O23" s="23"/>
      <c r="P23" s="23"/>
      <c r="Q23" s="23"/>
      <c r="R23" s="28"/>
      <c r="S23" s="28"/>
      <c r="T23" s="28"/>
      <c r="U23" s="28"/>
    </row>
    <row r="24" spans="1:21" ht="12.75" hidden="1" x14ac:dyDescent="0.2">
      <c r="A24" s="282">
        <f>'Input Pg1'!C55*'Input Pg1'!D55</f>
        <v>0</v>
      </c>
      <c r="B24" s="279" t="str">
        <f>'Input Pg1'!B55</f>
        <v>OG SS &lt;18.0 DIB sawlog</v>
      </c>
      <c r="C24" s="274">
        <v>1</v>
      </c>
      <c r="D24" s="275">
        <f>$D$3*$D$5*C24*A24</f>
        <v>0</v>
      </c>
      <c r="E24" s="278">
        <v>1</v>
      </c>
      <c r="F24" s="275">
        <f>$D$9*E24*A24</f>
        <v>0</v>
      </c>
      <c r="G24" s="276">
        <f>'Input Pg1'!C55*'Input Pg1'!E55</f>
        <v>0</v>
      </c>
      <c r="H24" s="274">
        <v>1</v>
      </c>
      <c r="I24" s="275">
        <f>$D$4*$D$6*H24*G24</f>
        <v>0</v>
      </c>
      <c r="J24" s="277">
        <v>1</v>
      </c>
      <c r="K24" s="31">
        <f>$D$10*J24*G24</f>
        <v>0</v>
      </c>
      <c r="L24" s="29"/>
      <c r="M24" s="23"/>
      <c r="N24" s="23"/>
      <c r="O24" s="23"/>
      <c r="P24" s="23"/>
      <c r="Q24" s="23"/>
      <c r="R24" s="28"/>
      <c r="S24" s="28"/>
      <c r="T24" s="28"/>
      <c r="U24" s="28"/>
    </row>
    <row r="25" spans="1:21" ht="12.75" hidden="1" x14ac:dyDescent="0.2">
      <c r="A25" s="282">
        <f>'Input Pg1'!C56*'Input Pg1'!D56</f>
        <v>0</v>
      </c>
      <c r="B25" s="279" t="str">
        <f>'Input Pg1'!B56</f>
        <v>YG SS all DIB sawlog</v>
      </c>
      <c r="C25" s="274">
        <v>1</v>
      </c>
      <c r="D25" s="275">
        <f>$D$3*$D$5*C25*A25</f>
        <v>0</v>
      </c>
      <c r="E25" s="274">
        <v>1</v>
      </c>
      <c r="F25" s="275">
        <f>$D$9*E25*A25</f>
        <v>0</v>
      </c>
      <c r="G25" s="276">
        <f>'Input Pg1'!C56*'Input Pg1'!E56</f>
        <v>0</v>
      </c>
      <c r="H25" s="274">
        <v>1</v>
      </c>
      <c r="I25" s="275">
        <f>$D$4*$D$6*H25*G25</f>
        <v>0</v>
      </c>
      <c r="J25" s="277">
        <v>1</v>
      </c>
      <c r="K25" s="31">
        <f>$D$10*J25*G25</f>
        <v>0</v>
      </c>
      <c r="L25" s="23"/>
      <c r="M25" s="23"/>
      <c r="N25" s="23"/>
      <c r="O25" s="23"/>
      <c r="P25" s="23"/>
      <c r="Q25" s="23"/>
      <c r="R25" s="28"/>
      <c r="S25" s="28"/>
      <c r="T25" s="28"/>
      <c r="U25" s="28"/>
    </row>
    <row r="26" spans="1:21" ht="12.75" hidden="1" x14ac:dyDescent="0.2">
      <c r="A26" s="282">
        <f>'Input Pg1'!C57*'Input Pg1'!D57</f>
        <v>0</v>
      </c>
      <c r="B26" s="279" t="str">
        <f>'Input Pg1'!B57</f>
        <v>Hem all DIB sawlog</v>
      </c>
      <c r="C26" s="274">
        <v>1</v>
      </c>
      <c r="D26" s="275">
        <f>E3*E5*C26*A26</f>
        <v>0</v>
      </c>
      <c r="E26" s="274">
        <v>1</v>
      </c>
      <c r="F26" s="275">
        <f>E9*E26*A26</f>
        <v>0</v>
      </c>
      <c r="G26" s="276">
        <f>'Input Pg1'!C57*'Input Pg1'!E57</f>
        <v>0</v>
      </c>
      <c r="H26" s="274">
        <v>1</v>
      </c>
      <c r="I26" s="275">
        <f>E4*E6*H26*G26</f>
        <v>0</v>
      </c>
      <c r="J26" s="277">
        <v>1</v>
      </c>
      <c r="K26" s="31">
        <f>E10*J26*G26</f>
        <v>0</v>
      </c>
      <c r="L26" s="23"/>
      <c r="M26" s="23"/>
      <c r="N26" s="23"/>
      <c r="O26" s="23"/>
      <c r="P26" s="23"/>
      <c r="Q26" s="23"/>
      <c r="R26" s="28"/>
      <c r="S26" s="28"/>
      <c r="T26" s="28"/>
      <c r="U26" s="28"/>
    </row>
    <row r="27" spans="1:21" ht="12.75" hidden="1" x14ac:dyDescent="0.2">
      <c r="A27" s="282">
        <f>'Input Pg1'!C58*'Input Pg1'!D58</f>
        <v>0</v>
      </c>
      <c r="B27" s="279" t="str">
        <f>'Input Pg1'!B58</f>
        <v>AYC all DIB sawlog</v>
      </c>
      <c r="C27" s="274">
        <v>0</v>
      </c>
      <c r="D27" s="275">
        <f>F3*F5*C27*A27</f>
        <v>0</v>
      </c>
      <c r="E27" s="274">
        <v>0</v>
      </c>
      <c r="F27" s="275">
        <f>F9*E27*A27</f>
        <v>0</v>
      </c>
      <c r="G27" s="276">
        <f>'Input Pg1'!C58*'Input Pg1'!E58</f>
        <v>0</v>
      </c>
      <c r="H27" s="274">
        <v>1</v>
      </c>
      <c r="I27" s="275">
        <f>F4*F6*H27*G27</f>
        <v>0</v>
      </c>
      <c r="J27" s="277">
        <v>1</v>
      </c>
      <c r="K27" s="32">
        <f>F10*J27*G27</f>
        <v>0</v>
      </c>
      <c r="L27" s="23"/>
      <c r="M27" s="23"/>
      <c r="N27" s="23"/>
      <c r="O27" s="23"/>
      <c r="P27" s="23"/>
      <c r="Q27" s="23"/>
      <c r="R27" s="28"/>
      <c r="S27" s="28"/>
      <c r="T27" s="28"/>
      <c r="U27" s="28"/>
    </row>
    <row r="28" spans="1:21" ht="12.75" hidden="1" x14ac:dyDescent="0.2">
      <c r="A28" s="282">
        <f>'Input Pg1'!C59*'Input Pg1'!D59</f>
        <v>0</v>
      </c>
      <c r="B28" s="279" t="str">
        <f>'Input Pg1'!B59</f>
        <v>WRC all DIB sawlog</v>
      </c>
      <c r="C28" s="274">
        <v>1</v>
      </c>
      <c r="D28" s="275">
        <f>G3*G5*C28*A28</f>
        <v>0</v>
      </c>
      <c r="E28" s="278">
        <v>1</v>
      </c>
      <c r="F28" s="275">
        <f>G9*E28*A28</f>
        <v>0</v>
      </c>
      <c r="G28" s="276">
        <f>'Input Pg1'!C59*'Input Pg1'!E59</f>
        <v>0</v>
      </c>
      <c r="H28" s="274">
        <v>1</v>
      </c>
      <c r="I28" s="275">
        <f>G4*G6*H28*G28</f>
        <v>0</v>
      </c>
      <c r="J28" s="277">
        <v>1</v>
      </c>
      <c r="K28" s="31">
        <f>G10*J28*G28</f>
        <v>0</v>
      </c>
      <c r="L28" s="23"/>
      <c r="M28" s="23"/>
      <c r="N28" s="23"/>
      <c r="O28" s="23"/>
      <c r="P28" s="23"/>
      <c r="Q28" s="23"/>
      <c r="R28" s="28"/>
      <c r="S28" s="28"/>
      <c r="T28" s="28"/>
      <c r="U28" s="28"/>
    </row>
    <row r="29" spans="1:21" ht="12.75" hidden="1" x14ac:dyDescent="0.2">
      <c r="A29" s="124"/>
      <c r="B29" s="124"/>
      <c r="C29" s="124"/>
      <c r="D29" s="267"/>
      <c r="E29" s="124"/>
      <c r="F29" s="124"/>
      <c r="G29" s="124"/>
      <c r="H29" s="124"/>
      <c r="I29" s="124"/>
      <c r="J29" s="124"/>
      <c r="K29" s="23"/>
      <c r="L29" s="23"/>
      <c r="M29" s="23"/>
      <c r="N29" s="23"/>
      <c r="O29" s="23"/>
      <c r="P29" s="23"/>
      <c r="Q29" s="23"/>
      <c r="R29" s="28"/>
      <c r="S29" s="28"/>
      <c r="T29" s="28"/>
      <c r="U29" s="28"/>
    </row>
    <row r="30" spans="1:21" ht="12.75" hidden="1" x14ac:dyDescent="0.2">
      <c r="A30" s="124"/>
      <c r="B30" s="124"/>
      <c r="C30" s="124"/>
      <c r="D30" s="267"/>
      <c r="E30" s="124"/>
      <c r="F30" s="124"/>
      <c r="G30" s="124"/>
      <c r="H30" s="124"/>
      <c r="I30" s="124"/>
      <c r="J30" s="124"/>
      <c r="K30" s="23"/>
      <c r="L30" s="23"/>
      <c r="M30" s="23"/>
      <c r="N30" s="23"/>
      <c r="O30" s="23"/>
      <c r="P30" s="23"/>
      <c r="Q30" s="23"/>
      <c r="R30" s="28"/>
      <c r="S30" s="28"/>
      <c r="T30" s="28"/>
      <c r="U30" s="28"/>
    </row>
    <row r="31" spans="1:21" ht="12.75" hidden="1" x14ac:dyDescent="0.2">
      <c r="A31" s="124"/>
      <c r="B31" s="124"/>
      <c r="C31" s="124"/>
      <c r="D31" s="267"/>
      <c r="E31" s="124"/>
      <c r="F31" s="124"/>
      <c r="G31" s="124"/>
      <c r="H31" s="124"/>
      <c r="I31" s="124"/>
      <c r="J31" s="124"/>
      <c r="K31" s="23"/>
      <c r="L31" s="23"/>
      <c r="M31" s="23"/>
      <c r="N31" s="23"/>
      <c r="O31" s="23"/>
      <c r="P31" s="10"/>
      <c r="Q31" s="10"/>
    </row>
    <row r="32" spans="1:21" ht="12.75" hidden="1" x14ac:dyDescent="0.2">
      <c r="A32" s="462" t="s">
        <v>412</v>
      </c>
      <c r="B32" s="439"/>
      <c r="C32" s="265"/>
      <c r="D32" s="266"/>
      <c r="E32" s="131"/>
      <c r="F32" s="131"/>
      <c r="G32" s="131"/>
      <c r="H32" s="267"/>
      <c r="I32" s="268"/>
      <c r="J32" s="124"/>
      <c r="K32" s="23"/>
      <c r="L32" s="23"/>
      <c r="M32" s="23"/>
      <c r="N32" s="23"/>
      <c r="O32" s="23"/>
      <c r="P32" s="10"/>
      <c r="Q32" s="10"/>
    </row>
    <row r="33" spans="1:17" ht="25.5" hidden="1" x14ac:dyDescent="0.2">
      <c r="A33" s="281" t="s">
        <v>302</v>
      </c>
      <c r="B33" s="269" t="s">
        <v>50</v>
      </c>
      <c r="C33" s="270" t="s">
        <v>90</v>
      </c>
      <c r="D33" s="281" t="s">
        <v>98</v>
      </c>
      <c r="E33" s="271" t="s">
        <v>91</v>
      </c>
      <c r="F33" s="271" t="s">
        <v>92</v>
      </c>
      <c r="G33" s="272" t="s">
        <v>97</v>
      </c>
      <c r="H33" s="271" t="s">
        <v>93</v>
      </c>
      <c r="I33" s="272" t="s">
        <v>94</v>
      </c>
      <c r="J33" s="271" t="s">
        <v>95</v>
      </c>
      <c r="K33" s="30" t="s">
        <v>96</v>
      </c>
      <c r="L33" s="23"/>
      <c r="M33" s="23"/>
      <c r="N33" s="23"/>
      <c r="O33" s="23"/>
      <c r="P33" s="10"/>
      <c r="Q33" s="10"/>
    </row>
    <row r="34" spans="1:17" ht="12.75" hidden="1" x14ac:dyDescent="0.2">
      <c r="A34" s="282">
        <f>'Input Pg1'!C66*'Input Pg1'!D66</f>
        <v>0</v>
      </c>
      <c r="B34" s="279" t="str">
        <f t="shared" ref="B34:B39" si="1">B23</f>
        <v>OG SS 18.0+ DIB sawlog</v>
      </c>
      <c r="C34" s="274">
        <v>1</v>
      </c>
      <c r="D34" s="275">
        <f>C3*C5*C34*A34</f>
        <v>0</v>
      </c>
      <c r="E34" s="278">
        <v>1</v>
      </c>
      <c r="F34" s="275">
        <f>C9*E34*A34</f>
        <v>0</v>
      </c>
      <c r="G34" s="276">
        <f>'Input Pg1'!C66*'Input Pg1'!E66</f>
        <v>0</v>
      </c>
      <c r="H34" s="274">
        <f>H23</f>
        <v>1</v>
      </c>
      <c r="I34" s="280">
        <f>C4*C6*H34*G34</f>
        <v>0</v>
      </c>
      <c r="J34" s="277">
        <v>1</v>
      </c>
      <c r="K34" s="31">
        <f>C10*J34*G34</f>
        <v>0</v>
      </c>
    </row>
    <row r="35" spans="1:17" ht="12.75" hidden="1" x14ac:dyDescent="0.2">
      <c r="A35" s="282">
        <f>'Input Pg1'!C67*'Input Pg1'!D67</f>
        <v>0</v>
      </c>
      <c r="B35" s="447" t="str">
        <f t="shared" si="1"/>
        <v>OG SS &lt;18.0 DIB sawlog</v>
      </c>
      <c r="C35" s="274">
        <v>1</v>
      </c>
      <c r="D35" s="275">
        <f>$D$3*$D$5*C35*A35</f>
        <v>0</v>
      </c>
      <c r="E35" s="278">
        <v>1</v>
      </c>
      <c r="F35" s="275">
        <f>$D$9*E35*A35</f>
        <v>0</v>
      </c>
      <c r="G35" s="276">
        <f>'Input Pg1'!C67*'Input Pg1'!E67</f>
        <v>0</v>
      </c>
      <c r="H35" s="274">
        <v>1</v>
      </c>
      <c r="I35" s="280">
        <f>$D$4*$D$6*H35*G35</f>
        <v>0</v>
      </c>
      <c r="J35" s="277">
        <v>1</v>
      </c>
      <c r="K35" s="31">
        <f>$D$10*J35*G35</f>
        <v>0</v>
      </c>
    </row>
    <row r="36" spans="1:17" ht="12.75" hidden="1" x14ac:dyDescent="0.2">
      <c r="A36" s="282">
        <f>'Input Pg1'!C68*'Input Pg1'!D68</f>
        <v>0</v>
      </c>
      <c r="B36" s="447" t="str">
        <f t="shared" si="1"/>
        <v>YG SS all DIB sawlog</v>
      </c>
      <c r="C36" s="274">
        <v>1</v>
      </c>
      <c r="D36" s="275">
        <f>$D$3*$D$5*C36*A36</f>
        <v>0</v>
      </c>
      <c r="E36" s="278">
        <v>1</v>
      </c>
      <c r="F36" s="275">
        <f>$D$9*E36*A36</f>
        <v>0</v>
      </c>
      <c r="G36" s="276">
        <f>'Input Pg1'!C68*'Input Pg1'!E68</f>
        <v>0</v>
      </c>
      <c r="H36" s="274">
        <v>1</v>
      </c>
      <c r="I36" s="280">
        <f>$D$4*$D$6*H36*G36</f>
        <v>0</v>
      </c>
      <c r="J36" s="277">
        <v>1</v>
      </c>
      <c r="K36" s="31">
        <f>$D$10*J36*G36</f>
        <v>0</v>
      </c>
    </row>
    <row r="37" spans="1:17" ht="12.75" hidden="1" x14ac:dyDescent="0.2">
      <c r="A37" s="282">
        <f>'Input Pg1'!C69*'Input Pg1'!D69</f>
        <v>0</v>
      </c>
      <c r="B37" s="450" t="str">
        <f t="shared" si="1"/>
        <v>Hem all DIB sawlog</v>
      </c>
      <c r="C37" s="274">
        <v>1</v>
      </c>
      <c r="D37" s="275">
        <f>E3*E5*C37*A37</f>
        <v>0</v>
      </c>
      <c r="E37" s="274">
        <v>1</v>
      </c>
      <c r="F37" s="275">
        <f>E9*E37*A37</f>
        <v>0</v>
      </c>
      <c r="G37" s="276">
        <f>'Input Pg1'!C69*'Input Pg1'!E69</f>
        <v>0</v>
      </c>
      <c r="H37" s="274">
        <v>1</v>
      </c>
      <c r="I37" s="275">
        <f>E4*E6*H37*G37</f>
        <v>0</v>
      </c>
      <c r="J37" s="277">
        <v>1</v>
      </c>
      <c r="K37" s="31">
        <f>E10*G37*J37</f>
        <v>0</v>
      </c>
      <c r="L37" s="10"/>
      <c r="M37" s="10"/>
      <c r="N37" s="10"/>
      <c r="O37" s="10"/>
      <c r="P37" s="10"/>
      <c r="Q37" s="10"/>
    </row>
    <row r="38" spans="1:17" ht="12.75" hidden="1" x14ac:dyDescent="0.2">
      <c r="A38" s="282">
        <f>'Input Pg1'!C70*'Input Pg1'!D70</f>
        <v>0</v>
      </c>
      <c r="B38" s="273" t="str">
        <f t="shared" si="1"/>
        <v>AYC all DIB sawlog</v>
      </c>
      <c r="C38" s="274">
        <v>0</v>
      </c>
      <c r="D38" s="275">
        <f>F3*F5*C38*A38</f>
        <v>0</v>
      </c>
      <c r="E38" s="274">
        <v>0</v>
      </c>
      <c r="F38" s="275">
        <f>F9*E38*A38</f>
        <v>0</v>
      </c>
      <c r="G38" s="276">
        <f>'Input Pg1'!C70*'Input Pg1'!E70</f>
        <v>0</v>
      </c>
      <c r="H38" s="274">
        <v>1</v>
      </c>
      <c r="I38" s="275">
        <f>F4*F6*H38*G38</f>
        <v>0</v>
      </c>
      <c r="J38" s="277">
        <v>1</v>
      </c>
      <c r="K38" s="32">
        <f>F10*J38*G38</f>
        <v>0</v>
      </c>
      <c r="L38" s="23"/>
      <c r="M38" s="23"/>
      <c r="N38" s="24"/>
      <c r="O38" s="23"/>
      <c r="P38" s="10"/>
      <c r="Q38" s="10"/>
    </row>
    <row r="39" spans="1:17" ht="12.75" hidden="1" x14ac:dyDescent="0.2">
      <c r="A39" s="282">
        <f>'Input Pg1'!C71*'Input Pg1'!D71</f>
        <v>0</v>
      </c>
      <c r="B39" s="273" t="str">
        <f t="shared" si="1"/>
        <v>WRC all DIB sawlog</v>
      </c>
      <c r="C39" s="274">
        <v>1</v>
      </c>
      <c r="D39" s="275">
        <f>G3*G5*C39*A39</f>
        <v>0</v>
      </c>
      <c r="E39" s="278">
        <v>1</v>
      </c>
      <c r="F39" s="275">
        <f>G9*E39*A39</f>
        <v>0</v>
      </c>
      <c r="G39" s="276">
        <f>'Input Pg1'!C71*'Input Pg1'!E71</f>
        <v>0</v>
      </c>
      <c r="H39" s="274">
        <v>1</v>
      </c>
      <c r="I39" s="275">
        <f>G4*G6*H39*G39</f>
        <v>0</v>
      </c>
      <c r="J39" s="277">
        <v>1</v>
      </c>
      <c r="K39" s="31">
        <f>G10*J39*G39</f>
        <v>0</v>
      </c>
    </row>
    <row r="40" spans="1:17" hidden="1" x14ac:dyDescent="0.15">
      <c r="A40" s="169"/>
      <c r="B40" s="169"/>
      <c r="C40" s="169"/>
      <c r="D40" s="169"/>
      <c r="E40" s="169"/>
      <c r="F40" s="169"/>
      <c r="G40" s="169"/>
      <c r="H40" s="169"/>
      <c r="I40" s="169"/>
      <c r="J40" s="169"/>
    </row>
    <row r="41" spans="1:17" x14ac:dyDescent="0.15">
      <c r="A41" s="169"/>
      <c r="B41" s="169"/>
      <c r="C41" s="169"/>
      <c r="D41" s="169"/>
      <c r="E41" s="169"/>
      <c r="F41" s="169"/>
      <c r="G41" s="169"/>
      <c r="H41" s="169"/>
      <c r="I41" s="169"/>
      <c r="J41" s="169"/>
    </row>
    <row r="42" spans="1:17" x14ac:dyDescent="0.15">
      <c r="A42" s="169"/>
      <c r="B42" s="169"/>
      <c r="C42" s="169"/>
      <c r="D42" s="169"/>
      <c r="E42" s="169"/>
      <c r="F42" s="169"/>
      <c r="G42" s="169"/>
      <c r="H42" s="169"/>
      <c r="I42" s="169"/>
      <c r="J42" s="169"/>
    </row>
    <row r="43" spans="1:17" x14ac:dyDescent="0.15">
      <c r="A43" s="169"/>
      <c r="B43" s="169"/>
      <c r="C43" s="169"/>
      <c r="D43" s="169"/>
      <c r="E43" s="169"/>
      <c r="F43" s="169"/>
      <c r="G43" s="169"/>
      <c r="H43" s="169"/>
      <c r="I43" s="169"/>
      <c r="J43" s="169"/>
    </row>
    <row r="44" spans="1:17" x14ac:dyDescent="0.15">
      <c r="A44" s="169"/>
      <c r="B44" s="169"/>
      <c r="C44" s="169"/>
      <c r="D44" s="169"/>
      <c r="E44" s="169"/>
      <c r="F44" s="169"/>
      <c r="G44" s="169"/>
      <c r="H44" s="169"/>
      <c r="I44" s="169"/>
      <c r="J44" s="169"/>
    </row>
    <row r="45" spans="1:17" x14ac:dyDescent="0.15">
      <c r="A45" s="169"/>
      <c r="B45" s="169"/>
      <c r="C45" s="169"/>
      <c r="D45" s="169"/>
      <c r="E45" s="169"/>
      <c r="F45" s="169"/>
      <c r="G45" s="169"/>
      <c r="H45" s="169"/>
      <c r="I45" s="169"/>
      <c r="J45" s="169"/>
    </row>
    <row r="46" spans="1:17" x14ac:dyDescent="0.15">
      <c r="A46" s="169"/>
      <c r="B46" s="169"/>
      <c r="C46" s="169"/>
      <c r="D46" s="169"/>
      <c r="E46" s="169"/>
      <c r="F46" s="169"/>
      <c r="G46" s="169"/>
      <c r="H46" s="169"/>
      <c r="I46" s="169"/>
      <c r="J46" s="169"/>
    </row>
    <row r="47" spans="1:17" x14ac:dyDescent="0.15">
      <c r="A47" s="169"/>
      <c r="B47" s="169"/>
      <c r="C47" s="169"/>
      <c r="D47" s="169"/>
      <c r="E47" s="169"/>
      <c r="F47" s="169"/>
      <c r="G47" s="169"/>
      <c r="H47" s="169"/>
      <c r="I47" s="169"/>
      <c r="J47" s="169"/>
    </row>
    <row r="48" spans="1:17" x14ac:dyDescent="0.15">
      <c r="A48" s="169"/>
      <c r="B48" s="169"/>
      <c r="C48" s="169"/>
      <c r="D48" s="169"/>
      <c r="E48" s="169"/>
      <c r="F48" s="169"/>
      <c r="G48" s="169"/>
      <c r="H48" s="169"/>
      <c r="I48" s="169"/>
      <c r="J48" s="169"/>
    </row>
    <row r="49" spans="1:10" x14ac:dyDescent="0.15">
      <c r="A49" s="169"/>
      <c r="B49" s="169"/>
      <c r="C49" s="169"/>
      <c r="D49" s="169"/>
      <c r="E49" s="169"/>
      <c r="F49" s="169"/>
      <c r="G49" s="169"/>
      <c r="H49" s="169"/>
      <c r="I49" s="169"/>
      <c r="J49" s="169"/>
    </row>
    <row r="50" spans="1:10" x14ac:dyDescent="0.15">
      <c r="A50" s="169"/>
      <c r="B50" s="169"/>
      <c r="C50" s="169"/>
      <c r="D50" s="169"/>
      <c r="E50" s="169"/>
      <c r="F50" s="169"/>
      <c r="G50" s="169"/>
      <c r="H50" s="169"/>
      <c r="I50" s="169"/>
      <c r="J50" s="169"/>
    </row>
    <row r="51" spans="1:10" x14ac:dyDescent="0.15">
      <c r="A51" s="169"/>
      <c r="B51" s="169"/>
      <c r="C51" s="169"/>
      <c r="D51" s="169"/>
      <c r="E51" s="169"/>
      <c r="F51" s="169"/>
      <c r="G51" s="169"/>
      <c r="H51" s="169"/>
      <c r="I51" s="169"/>
      <c r="J51" s="169"/>
    </row>
    <row r="52" spans="1:10" x14ac:dyDescent="0.15">
      <c r="A52" s="169"/>
      <c r="B52" s="169"/>
      <c r="C52" s="169"/>
      <c r="D52" s="169"/>
      <c r="E52" s="169"/>
      <c r="F52" s="169"/>
      <c r="G52" s="169"/>
      <c r="H52" s="169"/>
      <c r="I52" s="169"/>
      <c r="J52" s="169"/>
    </row>
    <row r="53" spans="1:10" x14ac:dyDescent="0.15">
      <c r="A53" s="169"/>
      <c r="B53" s="169"/>
      <c r="C53" s="169"/>
      <c r="D53" s="169"/>
      <c r="E53" s="169"/>
      <c r="F53" s="169"/>
      <c r="G53" s="169"/>
      <c r="H53" s="169"/>
      <c r="I53" s="169"/>
      <c r="J53" s="169"/>
    </row>
    <row r="54" spans="1:10" x14ac:dyDescent="0.15">
      <c r="A54" s="169"/>
      <c r="B54" s="169"/>
      <c r="C54" s="169"/>
      <c r="D54" s="169"/>
      <c r="E54" s="169"/>
      <c r="F54" s="169"/>
      <c r="G54" s="169"/>
      <c r="H54" s="169"/>
      <c r="I54" s="169"/>
      <c r="J54" s="169"/>
    </row>
    <row r="55" spans="1:10" x14ac:dyDescent="0.15">
      <c r="A55" s="169"/>
      <c r="B55" s="169"/>
      <c r="C55" s="169"/>
      <c r="D55" s="169"/>
      <c r="E55" s="169"/>
      <c r="F55" s="169"/>
      <c r="G55" s="169"/>
      <c r="H55" s="169"/>
      <c r="I55" s="169"/>
      <c r="J55" s="169"/>
    </row>
    <row r="56" spans="1:10" x14ac:dyDescent="0.15">
      <c r="A56" s="169"/>
      <c r="B56" s="169"/>
      <c r="C56" s="169"/>
      <c r="D56" s="169"/>
      <c r="E56" s="169"/>
      <c r="F56" s="169"/>
      <c r="G56" s="169"/>
      <c r="H56" s="169"/>
      <c r="I56" s="169"/>
      <c r="J56" s="169"/>
    </row>
    <row r="57" spans="1:10" x14ac:dyDescent="0.15">
      <c r="A57" s="169"/>
      <c r="B57" s="169"/>
      <c r="C57" s="169"/>
      <c r="D57" s="169"/>
      <c r="E57" s="169"/>
      <c r="F57" s="169"/>
      <c r="G57" s="169"/>
      <c r="H57" s="169"/>
      <c r="I57" s="169"/>
      <c r="J57" s="169"/>
    </row>
    <row r="58" spans="1:10" x14ac:dyDescent="0.15">
      <c r="A58" s="169"/>
      <c r="B58" s="169"/>
      <c r="C58" s="169"/>
      <c r="D58" s="169"/>
      <c r="E58" s="169"/>
      <c r="F58" s="169"/>
      <c r="G58" s="169"/>
      <c r="H58" s="169"/>
      <c r="I58" s="169"/>
      <c r="J58" s="169"/>
    </row>
    <row r="59" spans="1:10" x14ac:dyDescent="0.15">
      <c r="A59" s="169"/>
      <c r="B59" s="169"/>
      <c r="C59" s="169"/>
      <c r="D59" s="169"/>
      <c r="E59" s="169"/>
      <c r="F59" s="169"/>
      <c r="G59" s="169"/>
      <c r="H59" s="169"/>
      <c r="I59" s="169"/>
      <c r="J59" s="169"/>
    </row>
    <row r="60" spans="1:10" x14ac:dyDescent="0.15">
      <c r="A60" s="169"/>
      <c r="B60" s="169"/>
      <c r="C60" s="169"/>
      <c r="D60" s="169"/>
      <c r="E60" s="169"/>
      <c r="F60" s="169"/>
      <c r="G60" s="169"/>
      <c r="H60" s="169"/>
      <c r="I60" s="169"/>
      <c r="J60" s="169"/>
    </row>
    <row r="61" spans="1:10" x14ac:dyDescent="0.15">
      <c r="A61" s="169"/>
      <c r="B61" s="169"/>
      <c r="C61" s="169"/>
      <c r="D61" s="169"/>
      <c r="E61" s="169"/>
      <c r="F61" s="169"/>
      <c r="G61" s="169"/>
      <c r="H61" s="169"/>
      <c r="I61" s="169"/>
      <c r="J61" s="169"/>
    </row>
    <row r="62" spans="1:10" x14ac:dyDescent="0.15">
      <c r="A62" s="169"/>
      <c r="B62" s="169"/>
      <c r="C62" s="169"/>
      <c r="D62" s="169"/>
      <c r="E62" s="169"/>
      <c r="F62" s="169"/>
      <c r="G62" s="169"/>
      <c r="H62" s="169"/>
      <c r="I62" s="169"/>
      <c r="J62" s="169"/>
    </row>
    <row r="63" spans="1:10" x14ac:dyDescent="0.15">
      <c r="A63" s="169"/>
      <c r="B63" s="169"/>
      <c r="C63" s="169"/>
      <c r="D63" s="169"/>
      <c r="E63" s="169"/>
      <c r="F63" s="169"/>
      <c r="G63" s="169"/>
      <c r="H63" s="169"/>
      <c r="I63" s="169"/>
      <c r="J63" s="169"/>
    </row>
    <row r="64" spans="1:10" x14ac:dyDescent="0.15">
      <c r="A64" s="169"/>
      <c r="B64" s="169"/>
      <c r="C64" s="169"/>
      <c r="D64" s="169"/>
      <c r="E64" s="169"/>
      <c r="F64" s="169"/>
      <c r="G64" s="169"/>
      <c r="H64" s="169"/>
      <c r="I64" s="169"/>
      <c r="J64" s="169"/>
    </row>
    <row r="65" spans="1:10" x14ac:dyDescent="0.15">
      <c r="A65" s="169"/>
      <c r="B65" s="169"/>
      <c r="C65" s="169"/>
      <c r="D65" s="169"/>
      <c r="E65" s="169"/>
      <c r="F65" s="169"/>
      <c r="G65" s="169"/>
      <c r="H65" s="169"/>
      <c r="I65" s="169"/>
      <c r="J65" s="169"/>
    </row>
    <row r="66" spans="1:10" x14ac:dyDescent="0.15">
      <c r="A66" s="169"/>
      <c r="B66" s="169"/>
      <c r="C66" s="169"/>
      <c r="D66" s="169"/>
      <c r="E66" s="169"/>
      <c r="F66" s="169"/>
      <c r="G66" s="169"/>
      <c r="H66" s="169"/>
      <c r="I66" s="169"/>
      <c r="J66" s="169"/>
    </row>
    <row r="67" spans="1:10" x14ac:dyDescent="0.15">
      <c r="A67" s="169"/>
      <c r="B67" s="169"/>
      <c r="C67" s="169"/>
      <c r="D67" s="169"/>
      <c r="E67" s="169"/>
      <c r="F67" s="169"/>
      <c r="G67" s="169"/>
      <c r="H67" s="169"/>
      <c r="I67" s="169"/>
      <c r="J67" s="169"/>
    </row>
    <row r="68" spans="1:10" x14ac:dyDescent="0.15">
      <c r="A68" s="169"/>
      <c r="B68" s="169"/>
      <c r="C68" s="169"/>
      <c r="D68" s="169"/>
      <c r="E68" s="169"/>
      <c r="F68" s="169"/>
      <c r="G68" s="169"/>
      <c r="H68" s="169"/>
      <c r="I68" s="169"/>
      <c r="J68" s="169"/>
    </row>
    <row r="69" spans="1:10" x14ac:dyDescent="0.15">
      <c r="A69" s="169"/>
    </row>
    <row r="70" spans="1:10" x14ac:dyDescent="0.15">
      <c r="A70" s="169"/>
    </row>
    <row r="71" spans="1:10" x14ac:dyDescent="0.15">
      <c r="A71" s="169"/>
    </row>
    <row r="72" spans="1:10" x14ac:dyDescent="0.15">
      <c r="A72" s="169"/>
    </row>
    <row r="73" spans="1:10" x14ac:dyDescent="0.15">
      <c r="A73" s="169"/>
    </row>
    <row r="74" spans="1:10" x14ac:dyDescent="0.15">
      <c r="A74" s="169"/>
    </row>
    <row r="75" spans="1:10" x14ac:dyDescent="0.15">
      <c r="A75" s="169"/>
    </row>
    <row r="76" spans="1:10" x14ac:dyDescent="0.15">
      <c r="A76" s="169"/>
    </row>
    <row r="77" spans="1:10" x14ac:dyDescent="0.15">
      <c r="A77" s="169"/>
    </row>
  </sheetData>
  <sheetProtection algorithmName="SHA-512" hashValue="xCFYKrnwxX4uvnuMJUUZc2CoXHe4N5keJIUtCYKgSv/a+I7oKZKnKHoc2E8yXDDuC4E/+2c/1UNOyqkFyjnWRQ==" saltValue="k3V/2zU48AzKCSHFv/3drg==" spinCount="100000" sheet="1" selectLockedCells="1"/>
  <phoneticPr fontId="0" type="noConversion"/>
  <printOptions gridLines="1"/>
  <pageMargins left="0.25" right="0.25" top="0.75" bottom="1" header="0.5" footer="0.5"/>
  <pageSetup paperSize="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K99"/>
  <sheetViews>
    <sheetView zoomScale="90" zoomScaleNormal="90" workbookViewId="0">
      <selection activeCell="A150" sqref="A150"/>
    </sheetView>
  </sheetViews>
  <sheetFormatPr defaultRowHeight="12.75" x14ac:dyDescent="0.2"/>
  <cols>
    <col min="1" max="1" width="36.42578125" customWidth="1"/>
    <col min="2" max="2" width="15.85546875" customWidth="1"/>
    <col min="3" max="3" width="15" customWidth="1"/>
    <col min="4" max="4" width="14.140625" customWidth="1"/>
    <col min="5" max="5" width="15.140625" customWidth="1"/>
    <col min="6" max="6" width="15.7109375" customWidth="1"/>
    <col min="7" max="7" width="18.42578125" customWidth="1"/>
    <col min="8" max="8" width="15.5703125" bestFit="1" customWidth="1"/>
    <col min="9" max="9" width="15.7109375" bestFit="1" customWidth="1"/>
    <col min="10" max="10" width="16.7109375" customWidth="1"/>
  </cols>
  <sheetData>
    <row r="1" spans="1:11" x14ac:dyDescent="0.2">
      <c r="A1" s="132" t="s">
        <v>413</v>
      </c>
      <c r="B1" s="99"/>
      <c r="C1" s="99"/>
      <c r="D1" s="99"/>
      <c r="E1" s="99"/>
      <c r="F1" s="99"/>
      <c r="G1" s="99"/>
      <c r="H1" s="99"/>
      <c r="I1" s="99"/>
      <c r="J1" s="99"/>
    </row>
    <row r="2" spans="1:11" x14ac:dyDescent="0.2">
      <c r="A2" s="170" t="s">
        <v>82</v>
      </c>
      <c r="B2" s="283" t="s">
        <v>526</v>
      </c>
      <c r="C2" s="283" t="s">
        <v>527</v>
      </c>
      <c r="D2" s="283" t="s">
        <v>84</v>
      </c>
      <c r="E2" s="283" t="s">
        <v>85</v>
      </c>
      <c r="F2" s="283" t="s">
        <v>86</v>
      </c>
      <c r="G2" s="284" t="s">
        <v>83</v>
      </c>
      <c r="H2" s="99"/>
      <c r="I2" s="99"/>
      <c r="J2" s="99"/>
    </row>
    <row r="3" spans="1:11" x14ac:dyDescent="0.2">
      <c r="A3" s="170" t="s">
        <v>66</v>
      </c>
      <c r="B3" s="285">
        <f>IF('Input Pg1'!C54+'Input Pg1'!C55=0,0.00000000000001,'Input Pg1'!C54+'Input Pg1'!C55)</f>
        <v>1E-14</v>
      </c>
      <c r="C3" s="285">
        <f>IF('Input Pg1'!C56=0,0.00000000000001,'Input Pg1'!C56)</f>
        <v>1E-14</v>
      </c>
      <c r="D3" s="285">
        <f>IF('Input Pg1'!C57=0,0.00000000000001,'Input Pg1'!C57)</f>
        <v>1E-14</v>
      </c>
      <c r="E3" s="285">
        <f>IF('Input Pg1'!C58=0,0.00000000000001,'Input Pg1'!C58)</f>
        <v>1E-14</v>
      </c>
      <c r="F3" s="285">
        <f>IF('Input Pg1'!C59=0,0.00000000000001,'Input Pg1'!C59)</f>
        <v>1E-14</v>
      </c>
      <c r="G3" s="286">
        <f>B3+C3+D3+E3+F3</f>
        <v>5.0000000000000002E-14</v>
      </c>
      <c r="H3" s="287"/>
      <c r="I3" s="99"/>
      <c r="J3" s="99"/>
    </row>
    <row r="4" spans="1:11" ht="13.5" thickBot="1" x14ac:dyDescent="0.25">
      <c r="A4" s="170" t="s">
        <v>69</v>
      </c>
      <c r="B4" s="288">
        <f>('BY24 Update'!D23+'BY24 Update'!I23+'BY24 Update'!D24+'BY24 Update'!I24+B16+B17)/B3</f>
        <v>0</v>
      </c>
      <c r="C4" s="288">
        <f>('BY24 Update'!D25+'BY24 Update'!I25+C16+C17)/C3</f>
        <v>0</v>
      </c>
      <c r="D4" s="289">
        <f>('BY24 Update'!D26+'BY24 Update'!I26+D16+D17)/D3</f>
        <v>0</v>
      </c>
      <c r="E4" s="288">
        <f>('BY24 Update'!D27+'BY24 Update'!I27+E16+E17)/E3</f>
        <v>0</v>
      </c>
      <c r="F4" s="288">
        <f>('BY24 Update'!D28+'BY24 Update'!I28+F16+F17)/F3</f>
        <v>0</v>
      </c>
      <c r="G4" s="288">
        <f>(SUM('BY24 Update'!D23:D28)+SUM('BY24 Update'!I23:I28)+G16+G17)/G3</f>
        <v>0</v>
      </c>
      <c r="H4" s="284" t="s">
        <v>444</v>
      </c>
      <c r="I4" s="99"/>
      <c r="J4" s="99"/>
    </row>
    <row r="5" spans="1:11" x14ac:dyDescent="0.2">
      <c r="A5" s="290" t="s">
        <v>416</v>
      </c>
      <c r="B5" s="291">
        <f>IF('BY24 Update'!A23+'BY24 Update'!A24=0,0.00000000000001,'BY24 Update'!A23+'BY24 Update'!A24)</f>
        <v>1E-14</v>
      </c>
      <c r="C5" s="291">
        <f>IF('BY24 Update'!A25=0,0.00000000000001,'BY24 Update'!A25)</f>
        <v>1E-14</v>
      </c>
      <c r="D5" s="291">
        <f>IF('BY24 Update'!A26=0,0.00000000000001,'BY24 Update'!A26)</f>
        <v>1E-14</v>
      </c>
      <c r="E5" s="291">
        <f>IF('BY24 Update'!A27=0,0.00000000000001,'BY24 Update'!A27)</f>
        <v>1E-14</v>
      </c>
      <c r="F5" s="291">
        <f>IF('BY24 Update'!A28=0,0.00000000000001,'BY24 Update'!A28)</f>
        <v>1E-14</v>
      </c>
      <c r="G5" s="291">
        <f>B5+C5+D5+E5+F5</f>
        <v>5.0000000000000002E-14</v>
      </c>
      <c r="H5" s="292">
        <f>G5/G3</f>
        <v>1</v>
      </c>
      <c r="I5" s="293" t="s">
        <v>159</v>
      </c>
      <c r="J5" s="207"/>
    </row>
    <row r="6" spans="1:11" x14ac:dyDescent="0.2">
      <c r="A6" s="294" t="s">
        <v>417</v>
      </c>
      <c r="B6" s="295">
        <f>('BY24 Update'!D23+'BY24 Update'!D24)/B5</f>
        <v>0</v>
      </c>
      <c r="C6" s="295">
        <f>'BY24 Update'!D25/C5</f>
        <v>0</v>
      </c>
      <c r="D6" s="296">
        <f>'BY24 Update'!D26/D5</f>
        <v>0</v>
      </c>
      <c r="E6" s="297">
        <f>'BY24 Update'!D27/E5</f>
        <v>0</v>
      </c>
      <c r="F6" s="297">
        <f>'BY24 Update'!D28/F5</f>
        <v>0</v>
      </c>
      <c r="G6" s="298">
        <f>+((B5*B6)+(C5*C6)+(D5*D6)+(F5*F6)+(E5*E6))/G5</f>
        <v>0</v>
      </c>
      <c r="H6" s="299"/>
      <c r="I6" s="99"/>
      <c r="J6" s="502" t="s">
        <v>497</v>
      </c>
    </row>
    <row r="7" spans="1:11" x14ac:dyDescent="0.2">
      <c r="A7" s="294" t="s">
        <v>67</v>
      </c>
      <c r="B7" s="300">
        <v>0</v>
      </c>
      <c r="C7" s="300">
        <v>0</v>
      </c>
      <c r="D7" s="300">
        <v>0</v>
      </c>
      <c r="E7" s="287">
        <v>0</v>
      </c>
      <c r="F7" s="300">
        <f>IF('BY24 Update'!G28=0,0.0000000000000001,'BY24 Update'!G28)</f>
        <v>9.9999999999999998E-17</v>
      </c>
      <c r="G7" s="300">
        <f>B7+C7+D7+E7+F7</f>
        <v>9.9999999999999998E-17</v>
      </c>
      <c r="H7" s="299">
        <f>IF('BY24 Update'!G28=0,0,G7/G3)</f>
        <v>0</v>
      </c>
      <c r="I7" s="99"/>
      <c r="J7" s="301">
        <f>B9+C9+D9+E9+F7</f>
        <v>1.4000000000000001E-16</v>
      </c>
    </row>
    <row r="8" spans="1:11" x14ac:dyDescent="0.2">
      <c r="A8" s="294" t="s">
        <v>68</v>
      </c>
      <c r="B8" s="297">
        <v>0</v>
      </c>
      <c r="C8" s="297">
        <v>0</v>
      </c>
      <c r="D8" s="297">
        <v>0</v>
      </c>
      <c r="E8" s="297">
        <v>0</v>
      </c>
      <c r="F8" s="298">
        <f>'BY24 Update'!I28/F7</f>
        <v>0</v>
      </c>
      <c r="G8" s="298">
        <f>+((B7*B8)+(C7*C8)+(D7*D8)+(F7*F8)+(E7*E8))/G7</f>
        <v>0</v>
      </c>
      <c r="H8" s="299">
        <f>J7/G3</f>
        <v>2.8E-3</v>
      </c>
      <c r="I8" s="99" t="s">
        <v>495</v>
      </c>
      <c r="J8" s="442"/>
    </row>
    <row r="9" spans="1:11" x14ac:dyDescent="0.2">
      <c r="A9" s="294" t="s">
        <v>491</v>
      </c>
      <c r="B9" s="300">
        <f>IF('BY24 Update'!G23+'BY24 Update'!G24=0,0.00000000000000001,'BY24 Update'!G23+'BY24 Update'!G24)</f>
        <v>1.0000000000000001E-17</v>
      </c>
      <c r="C9" s="300">
        <f>IF('BY24 Update'!G25=0,0.00000000000000001,'BY24 Update'!G25)</f>
        <v>1.0000000000000001E-17</v>
      </c>
      <c r="D9" s="300">
        <f>IF('BY24 Update'!G26=0,0.00000000000000001,'BY24 Update'!G26)</f>
        <v>1.0000000000000001E-17</v>
      </c>
      <c r="E9" s="300">
        <f>IF('BY24 Update'!G27=0,0.00000000000000001,'BY24 Update'!G27)</f>
        <v>1.0000000000000001E-17</v>
      </c>
      <c r="F9" s="300">
        <v>0</v>
      </c>
      <c r="G9" s="300">
        <f>B9+C9+D9+E9</f>
        <v>4.0000000000000003E-17</v>
      </c>
      <c r="H9" s="302">
        <f>G9/G3</f>
        <v>8.0000000000000004E-4</v>
      </c>
      <c r="I9" s="99" t="s">
        <v>496</v>
      </c>
      <c r="J9" s="212"/>
      <c r="K9" s="6" t="s">
        <v>51</v>
      </c>
    </row>
    <row r="10" spans="1:11" ht="13.5" thickBot="1" x14ac:dyDescent="0.25">
      <c r="A10" s="303" t="s">
        <v>492</v>
      </c>
      <c r="B10" s="304">
        <f>('BY24 Update'!I23+'BY24 Update'!I24+B17)/B9</f>
        <v>0</v>
      </c>
      <c r="C10" s="304">
        <f>('BY24 Update'!I25+C17)/C9</f>
        <v>0</v>
      </c>
      <c r="D10" s="304">
        <f>('BY24 Update'!I26+D17)/D9</f>
        <v>0</v>
      </c>
      <c r="E10" s="304">
        <f>('BY24 Update'!I27+E17)/E9</f>
        <v>0</v>
      </c>
      <c r="F10" s="304">
        <v>0</v>
      </c>
      <c r="G10" s="305">
        <f>+((B9*B10)+(C9*C10)+(D9*D10)+(F9*F10)+(E9*E10))/G9</f>
        <v>0</v>
      </c>
      <c r="H10" s="501">
        <f>+(B9+C9+D9)/G3</f>
        <v>5.9999999999999995E-4</v>
      </c>
      <c r="I10" s="500" t="s">
        <v>494</v>
      </c>
      <c r="J10" s="306"/>
    </row>
    <row r="11" spans="1:11" x14ac:dyDescent="0.2">
      <c r="A11" s="211" t="s">
        <v>72</v>
      </c>
      <c r="B11" s="485">
        <f>('BY24 Update'!F23+'BY24 Update'!K23+'BY24 Update'!F24+'BY24 Update'!K24)/B3</f>
        <v>0</v>
      </c>
      <c r="C11" s="485">
        <f>('BY24 Update'!F25+'BY24 Update'!K25)/C3</f>
        <v>0</v>
      </c>
      <c r="D11" s="485">
        <f>('BY24 Update'!F26+'BY24 Update'!K26)/D3</f>
        <v>0</v>
      </c>
      <c r="E11" s="485">
        <f>('BY24 Update'!F27+'BY24 Update'!K27)/E3</f>
        <v>0</v>
      </c>
      <c r="F11" s="486">
        <f>('BY24 Update'!F28+'BY24 Update'!K28)/F3</f>
        <v>0</v>
      </c>
      <c r="G11" s="307"/>
      <c r="H11" s="287"/>
      <c r="I11" s="99"/>
      <c r="J11" s="99"/>
    </row>
    <row r="12" spans="1:11" x14ac:dyDescent="0.2">
      <c r="A12" s="294" t="s">
        <v>418</v>
      </c>
      <c r="B12" s="296">
        <f>('BY24 Update'!F23+'BY24 Update'!F24)/B5</f>
        <v>0</v>
      </c>
      <c r="C12" s="296">
        <f>'BY24 Update'!F25/C5</f>
        <v>0</v>
      </c>
      <c r="D12" s="296">
        <f>'BY24 Update'!F26/D5</f>
        <v>0</v>
      </c>
      <c r="E12" s="296">
        <f>'BY24 Update'!F27/E5</f>
        <v>0</v>
      </c>
      <c r="F12" s="420">
        <f>'BY24 Update'!F28/F5</f>
        <v>0</v>
      </c>
      <c r="G12" s="212"/>
      <c r="H12" s="99"/>
      <c r="I12" s="99"/>
      <c r="J12" s="99"/>
    </row>
    <row r="13" spans="1:11" x14ac:dyDescent="0.2">
      <c r="A13" s="294" t="s">
        <v>71</v>
      </c>
      <c r="B13" s="296">
        <v>0</v>
      </c>
      <c r="C13" s="296">
        <v>0</v>
      </c>
      <c r="D13" s="296">
        <v>0</v>
      </c>
      <c r="E13" s="296">
        <v>0</v>
      </c>
      <c r="F13" s="420">
        <f>('BY24 Update'!K28)/F7</f>
        <v>0</v>
      </c>
      <c r="G13" s="212"/>
      <c r="H13" s="308"/>
      <c r="I13" s="99"/>
      <c r="J13" s="99"/>
    </row>
    <row r="14" spans="1:11" ht="13.5" thickBot="1" x14ac:dyDescent="0.25">
      <c r="A14" s="303" t="s">
        <v>493</v>
      </c>
      <c r="B14" s="464">
        <f>('BY24 Update'!K23+'BY24 Update'!K24)/B9</f>
        <v>0</v>
      </c>
      <c r="C14" s="464">
        <f>'BY24 Update'!K25/C9</f>
        <v>0</v>
      </c>
      <c r="D14" s="464">
        <f>'BY24 Update'!K26/D9</f>
        <v>0</v>
      </c>
      <c r="E14" s="309">
        <f>'BY24 Update'!K27/E9</f>
        <v>0</v>
      </c>
      <c r="F14" s="487">
        <v>0</v>
      </c>
      <c r="G14" s="306"/>
      <c r="H14" s="99"/>
      <c r="I14" s="310"/>
      <c r="J14" s="99"/>
    </row>
    <row r="15" spans="1:11" x14ac:dyDescent="0.2">
      <c r="A15" s="311"/>
      <c r="B15" s="312"/>
      <c r="C15" s="312"/>
      <c r="D15" s="312"/>
      <c r="E15" s="312"/>
      <c r="F15" s="312"/>
      <c r="G15" s="313"/>
      <c r="H15" s="99"/>
      <c r="I15" s="99"/>
      <c r="J15" s="99"/>
    </row>
    <row r="16" spans="1:11" x14ac:dyDescent="0.2">
      <c r="A16" s="314" t="s">
        <v>610</v>
      </c>
      <c r="B16" s="315">
        <f>IF('Input Pg1'!C9=7,0,IF('Input Pg1'!C9=9,I58,0))</f>
        <v>0</v>
      </c>
      <c r="C16" s="315">
        <f>IF('Input Pg1'!C9=7,0,IF('Input Pg1'!C9=9,I59,0))</f>
        <v>0</v>
      </c>
      <c r="D16" s="315">
        <f>IF('Input Pg1'!C9=7,0,IF('Input Pg1'!C9=9,I60,0))</f>
        <v>0</v>
      </c>
      <c r="E16" s="315">
        <f>IF('Input Pg1'!C9=7,0,IF('Input Pg1'!C9=9,I61,0))</f>
        <v>0</v>
      </c>
      <c r="F16" s="315">
        <f>IF('Input Pg1'!C9=7,0,IF('Input Pg1'!C9=9,I62,0))</f>
        <v>0</v>
      </c>
      <c r="G16" s="316">
        <f>SUM(B16:F16)</f>
        <v>0</v>
      </c>
      <c r="H16" s="99"/>
      <c r="I16" s="99"/>
      <c r="J16" s="99"/>
    </row>
    <row r="17" spans="1:10" x14ac:dyDescent="0.2">
      <c r="A17" s="314" t="s">
        <v>609</v>
      </c>
      <c r="B17" s="315">
        <f>IF('Input Pg1'!C9=7,0,IF('Input Pg1'!C9=9,I49,0))</f>
        <v>0</v>
      </c>
      <c r="C17" s="315">
        <f>IF('Input Pg1'!C9=7,0,IF('Input Pg1'!C9=9,I50,0))</f>
        <v>0</v>
      </c>
      <c r="D17" s="315">
        <f>IF('Input Pg1'!C9=7,0,IF('Input Pg1'!C9=9,I51,0))</f>
        <v>0</v>
      </c>
      <c r="E17" s="315">
        <f>IF('Input Pg1'!C9=7,0,IF('Input Pg1'!C9=9,I52,0))</f>
        <v>0</v>
      </c>
      <c r="F17" s="315">
        <f>IF('Input Pg1'!C9=7,0,IF('Input Pg1'!C9=9,I53,0))</f>
        <v>0</v>
      </c>
      <c r="G17" s="316">
        <f>SUM(B17:F17)</f>
        <v>0</v>
      </c>
      <c r="H17" s="99"/>
      <c r="I17" s="99"/>
      <c r="J17" s="99"/>
    </row>
    <row r="18" spans="1:10" x14ac:dyDescent="0.2">
      <c r="A18" s="99"/>
      <c r="B18" s="317"/>
      <c r="C18" s="317"/>
      <c r="D18" s="317"/>
      <c r="E18" s="317"/>
      <c r="F18" s="317"/>
      <c r="G18" s="317"/>
      <c r="H18" s="99"/>
      <c r="I18" s="99"/>
      <c r="J18" s="99"/>
    </row>
    <row r="19" spans="1:10" x14ac:dyDescent="0.2">
      <c r="A19" s="318"/>
      <c r="B19" s="318"/>
      <c r="C19" s="318"/>
      <c r="D19" s="318"/>
      <c r="E19" s="318"/>
      <c r="F19" s="318"/>
      <c r="G19" s="318"/>
      <c r="H19" s="318"/>
      <c r="I19" s="318"/>
      <c r="J19" s="318"/>
    </row>
    <row r="20" spans="1:10" x14ac:dyDescent="0.2">
      <c r="A20" s="462" t="s">
        <v>490</v>
      </c>
      <c r="B20" s="99"/>
      <c r="C20" s="99"/>
      <c r="D20" s="99"/>
      <c r="E20" s="99"/>
      <c r="F20" s="99"/>
      <c r="G20" s="99"/>
      <c r="H20" s="99"/>
      <c r="I20" s="99"/>
      <c r="J20" s="99"/>
    </row>
    <row r="21" spans="1:10" x14ac:dyDescent="0.2">
      <c r="A21" s="170" t="s">
        <v>82</v>
      </c>
      <c r="B21" s="283" t="str">
        <f>B2</f>
        <v>OG SS</v>
      </c>
      <c r="C21" s="283" t="str">
        <f>C2</f>
        <v>YG SS</v>
      </c>
      <c r="D21" s="283" t="str">
        <f>D2</f>
        <v>HEM</v>
      </c>
      <c r="E21" s="283" t="str">
        <f>E2</f>
        <v>AYC</v>
      </c>
      <c r="F21" s="283" t="str">
        <f>F2</f>
        <v>WRC</v>
      </c>
      <c r="G21" s="284" t="s">
        <v>83</v>
      </c>
      <c r="H21" s="99"/>
      <c r="I21" s="99"/>
      <c r="J21" s="99"/>
    </row>
    <row r="22" spans="1:10" x14ac:dyDescent="0.2">
      <c r="A22" s="170" t="s">
        <v>66</v>
      </c>
      <c r="B22" s="285">
        <f>IF('Input Pg1'!C66+'Input Pg1'!C67=0,0.00000000000001,'Input Pg1'!C66+'Input Pg1'!C67)</f>
        <v>1E-14</v>
      </c>
      <c r="C22" s="285">
        <f>IF('Input Pg1'!C68=0,0.00000000000001,'Input Pg1'!C68)</f>
        <v>1E-14</v>
      </c>
      <c r="D22" s="285">
        <f>IF('Input Pg1'!C69=0,0.00000000000001,'Input Pg1'!C69)</f>
        <v>1E-14</v>
      </c>
      <c r="E22" s="285">
        <f>IF('Input Pg1'!C70=0,0.00000000000001,'Input Pg1'!C70)</f>
        <v>1E-14</v>
      </c>
      <c r="F22" s="285">
        <f>IF('Input Pg1'!C71=0,0.00000000000001,'Input Pg1'!C71)</f>
        <v>1E-14</v>
      </c>
      <c r="G22" s="286">
        <f>B22+C22+D22+E22+F22</f>
        <v>5.0000000000000002E-14</v>
      </c>
      <c r="H22" s="99"/>
      <c r="I22" s="99"/>
      <c r="J22" s="99"/>
    </row>
    <row r="23" spans="1:10" ht="13.5" thickBot="1" x14ac:dyDescent="0.25">
      <c r="A23" s="170" t="s">
        <v>69</v>
      </c>
      <c r="B23" s="288">
        <f>('BY24 Update'!D34+'BY24 Update'!I34+'BY24 Update'!D35+'BY24 Update'!I35+B35+B36)/B22</f>
        <v>0</v>
      </c>
      <c r="C23" s="288">
        <f>('BY24 Update'!D36+'BY24 Update'!I36+C35+C36)/C22</f>
        <v>0</v>
      </c>
      <c r="D23" s="289">
        <f>('BY24 Update'!D37+'BY24 Update'!I37+D35+D36)/D22</f>
        <v>0</v>
      </c>
      <c r="E23" s="288">
        <f>('BY24 Update'!D38+'BY24 Update'!I38+E35+E36)/E22</f>
        <v>0</v>
      </c>
      <c r="F23" s="288">
        <f>('BY24 Update'!D39+'BY24 Update'!I39+F35+F36)/F22</f>
        <v>0</v>
      </c>
      <c r="G23" s="288">
        <f>(SUM('BY24 Update'!D34:D39)+SUM('BY24 Update'!I34:I39)+G35+G36)/G22</f>
        <v>0</v>
      </c>
      <c r="H23" s="284" t="s">
        <v>444</v>
      </c>
      <c r="I23" s="99"/>
      <c r="J23" s="99"/>
    </row>
    <row r="24" spans="1:10" x14ac:dyDescent="0.2">
      <c r="A24" s="290" t="s">
        <v>416</v>
      </c>
      <c r="B24" s="291">
        <f>IF('BY24 Update'!A34+'BY24 Update'!A35=0,0.00000000000001,'BY24 Update'!A34+'BY24 Update'!A35)</f>
        <v>1E-14</v>
      </c>
      <c r="C24" s="291">
        <f>IF('BY24 Update'!A36=0,0.00000000000001,'BY24 Update'!A36)</f>
        <v>1E-14</v>
      </c>
      <c r="D24" s="291">
        <f>IF('BY24 Update'!A37=0,0.00000000000001,'BY24 Update'!A37)</f>
        <v>1E-14</v>
      </c>
      <c r="E24" s="291">
        <f>IF('BY24 Update'!A38=0,0.00000000000001,'BY24 Update'!A38)</f>
        <v>1E-14</v>
      </c>
      <c r="F24" s="291">
        <f>IF('BY24 Update'!A39=0,0.00000000000001,'BY24 Update'!A39)</f>
        <v>1E-14</v>
      </c>
      <c r="G24" s="291">
        <f>B24+C24+D24+E24+F24</f>
        <v>5.0000000000000002E-14</v>
      </c>
      <c r="H24" s="292">
        <f>G24/G22</f>
        <v>1</v>
      </c>
      <c r="I24" s="293" t="s">
        <v>159</v>
      </c>
      <c r="J24" s="207"/>
    </row>
    <row r="25" spans="1:10" x14ac:dyDescent="0.2">
      <c r="A25" s="294" t="s">
        <v>417</v>
      </c>
      <c r="B25" s="295">
        <f>('BY24 Update'!D34+'BY24 Update'!D35)/B24</f>
        <v>0</v>
      </c>
      <c r="C25" s="295">
        <f>'BY24 Update'!D36/C24</f>
        <v>0</v>
      </c>
      <c r="D25" s="296">
        <f>'BY24 Update'!D37/D24</f>
        <v>0</v>
      </c>
      <c r="E25" s="297">
        <f>'BY24 Update'!D38/E24</f>
        <v>0</v>
      </c>
      <c r="F25" s="297">
        <f>'BY24 Update'!D39/F24</f>
        <v>0</v>
      </c>
      <c r="G25" s="298">
        <f>+((B24*B25)+(C24*C25)+(D24*D25)+(F24*F25)+(E24*E25))/G24</f>
        <v>0</v>
      </c>
      <c r="H25" s="99"/>
      <c r="I25" s="99"/>
      <c r="J25" s="502" t="s">
        <v>497</v>
      </c>
    </row>
    <row r="26" spans="1:10" x14ac:dyDescent="0.2">
      <c r="A26" s="294" t="s">
        <v>67</v>
      </c>
      <c r="B26" s="300">
        <v>0</v>
      </c>
      <c r="C26" s="300">
        <v>0</v>
      </c>
      <c r="D26" s="300">
        <v>0</v>
      </c>
      <c r="E26" s="287">
        <v>0</v>
      </c>
      <c r="F26" s="300">
        <f>IF('BY24 Update'!G39=0,0.0000000000000001,'BY24 Update'!G39)</f>
        <v>9.9999999999999998E-17</v>
      </c>
      <c r="G26" s="300">
        <f>B26+C26+D26+E26+F26</f>
        <v>9.9999999999999998E-17</v>
      </c>
      <c r="H26" s="299">
        <f>G26/G22</f>
        <v>2E-3</v>
      </c>
      <c r="I26" s="99"/>
      <c r="J26" s="301">
        <f>B28+C28+D28+E28+F26</f>
        <v>1.4000000000000001E-16</v>
      </c>
    </row>
    <row r="27" spans="1:10" x14ac:dyDescent="0.2">
      <c r="A27" s="294" t="s">
        <v>68</v>
      </c>
      <c r="B27" s="297">
        <v>0</v>
      </c>
      <c r="C27" s="297">
        <v>0</v>
      </c>
      <c r="D27" s="297">
        <v>0</v>
      </c>
      <c r="E27" s="297">
        <v>0</v>
      </c>
      <c r="F27" s="298">
        <f>'BY24 Update'!I39/F26</f>
        <v>0</v>
      </c>
      <c r="G27" s="298">
        <f>+((B26*B27)+(C26*C27)+(D26*D27)+(F26*F27)+(E26*E27))/G26</f>
        <v>0</v>
      </c>
      <c r="H27" s="299">
        <f>J26/G22</f>
        <v>2.8E-3</v>
      </c>
      <c r="I27" s="99" t="s">
        <v>495</v>
      </c>
      <c r="J27" s="212"/>
    </row>
    <row r="28" spans="1:10" x14ac:dyDescent="0.2">
      <c r="A28" s="294" t="s">
        <v>491</v>
      </c>
      <c r="B28" s="300">
        <f>IF('BY24 Update'!G34+'BY24 Update'!G35=0,0.00000000000000001,'BY24 Update'!G34+'BY24 Update'!G35)</f>
        <v>1.0000000000000001E-17</v>
      </c>
      <c r="C28" s="300">
        <f>IF('BY24 Update'!G36=0,0.00000000000000001,'BY24 Update'!G36)</f>
        <v>1.0000000000000001E-17</v>
      </c>
      <c r="D28" s="300">
        <f>IF('BY24 Update'!G37=0,0.00000000000000001,'BY24 Update'!G37)</f>
        <v>1.0000000000000001E-17</v>
      </c>
      <c r="E28" s="300">
        <f>IF('BY24 Update'!G38=0,0.00000000000000001,'BY24 Update'!G38)</f>
        <v>1.0000000000000001E-17</v>
      </c>
      <c r="F28" s="300">
        <v>0</v>
      </c>
      <c r="G28" s="300">
        <f>B28+C28+D28+E28</f>
        <v>4.0000000000000003E-17</v>
      </c>
      <c r="H28" s="302">
        <f>G28/G22</f>
        <v>8.0000000000000004E-4</v>
      </c>
      <c r="I28" s="99" t="s">
        <v>496</v>
      </c>
      <c r="J28" s="212"/>
    </row>
    <row r="29" spans="1:10" ht="13.5" thickBot="1" x14ac:dyDescent="0.25">
      <c r="A29" s="303" t="s">
        <v>492</v>
      </c>
      <c r="B29" s="304">
        <f>('BY24 Update'!I34+'BY24 Update'!I35+B36)/B28</f>
        <v>0</v>
      </c>
      <c r="C29" s="304">
        <f>('BY24 Update'!I36+C36)/C28</f>
        <v>0</v>
      </c>
      <c r="D29" s="304">
        <f>(SUM('BY24 Update'!I37)+D36)/D28</f>
        <v>0</v>
      </c>
      <c r="E29" s="304">
        <f>('BY24 Update'!I38+E36)/E28</f>
        <v>0</v>
      </c>
      <c r="F29" s="304">
        <v>0</v>
      </c>
      <c r="G29" s="305">
        <f>+((B28*B29)+(C28*C29)+(D28*D29)+(F28*F29)+(E28*E29))/G28</f>
        <v>0</v>
      </c>
      <c r="H29" s="501">
        <f>+(B28+C28+D28)/G22</f>
        <v>5.9999999999999995E-4</v>
      </c>
      <c r="I29" s="500" t="s">
        <v>494</v>
      </c>
      <c r="J29" s="306"/>
    </row>
    <row r="30" spans="1:10" x14ac:dyDescent="0.2">
      <c r="A30" s="211" t="s">
        <v>72</v>
      </c>
      <c r="B30" s="488">
        <f>('BY24 Update'!F34+'BY24 Update'!K34+'BY24 Update'!F35+'BY24 Update'!K35)/B22</f>
        <v>0</v>
      </c>
      <c r="C30" s="488">
        <f>('BY24 Update'!F36+'BY24 Update'!K36)/C22</f>
        <v>0</v>
      </c>
      <c r="D30" s="488">
        <f>('BY24 Update'!F37+'BY24 Update'!K37)/D22</f>
        <v>0</v>
      </c>
      <c r="E30" s="488">
        <f>('BY24 Update'!F38+'BY24 Update'!K38)/E22</f>
        <v>0</v>
      </c>
      <c r="F30" s="489">
        <f>('BY24 Update'!F39+'BY24 Update'!K39)/F22</f>
        <v>0</v>
      </c>
      <c r="G30" s="207"/>
      <c r="H30" s="99"/>
      <c r="I30" s="99"/>
      <c r="J30" s="99"/>
    </row>
    <row r="31" spans="1:10" x14ac:dyDescent="0.2">
      <c r="A31" s="294" t="s">
        <v>418</v>
      </c>
      <c r="B31" s="420">
        <f>('BY24 Update'!F34+'BY24 Update'!F35)/B24</f>
        <v>0</v>
      </c>
      <c r="C31" s="420">
        <f>'BY24 Update'!F36/C24</f>
        <v>0</v>
      </c>
      <c r="D31" s="420">
        <f>'BY24 Update'!F37/D24</f>
        <v>0</v>
      </c>
      <c r="E31" s="420">
        <f>'BY24 Update'!F38/E24</f>
        <v>0</v>
      </c>
      <c r="F31" s="420">
        <f>'BY24 Update'!F39/F24</f>
        <v>0</v>
      </c>
      <c r="G31" s="212"/>
      <c r="H31" s="99"/>
      <c r="I31" s="99"/>
      <c r="J31" s="99"/>
    </row>
    <row r="32" spans="1:10" x14ac:dyDescent="0.2">
      <c r="A32" s="294" t="s">
        <v>71</v>
      </c>
      <c r="B32" s="420">
        <v>0</v>
      </c>
      <c r="C32" s="420">
        <v>0</v>
      </c>
      <c r="D32" s="420">
        <v>0</v>
      </c>
      <c r="E32" s="420">
        <v>0</v>
      </c>
      <c r="F32" s="420">
        <f>('BY24 Update'!K39)/F26</f>
        <v>0</v>
      </c>
      <c r="G32" s="212"/>
      <c r="H32" s="99"/>
      <c r="I32" s="99"/>
      <c r="J32" s="99"/>
    </row>
    <row r="33" spans="1:11" ht="13.5" thickBot="1" x14ac:dyDescent="0.25">
      <c r="A33" s="303" t="s">
        <v>493</v>
      </c>
      <c r="B33" s="490">
        <f>('BY24 Update'!K34+'BY24 Update'!K35)/B28</f>
        <v>0</v>
      </c>
      <c r="C33" s="490">
        <f>'BY24 Update'!K36/C28</f>
        <v>0</v>
      </c>
      <c r="D33" s="487">
        <f>'BY24 Update'!K37/D28</f>
        <v>0</v>
      </c>
      <c r="E33" s="487">
        <f>'BY24 Update'!K38/E28</f>
        <v>0</v>
      </c>
      <c r="F33" s="487">
        <v>0</v>
      </c>
      <c r="G33" s="306"/>
      <c r="H33" s="99"/>
      <c r="I33" s="99"/>
      <c r="J33" s="99"/>
    </row>
    <row r="34" spans="1:11" x14ac:dyDescent="0.2">
      <c r="A34" s="170"/>
      <c r="B34" s="420"/>
      <c r="C34" s="420"/>
      <c r="D34" s="420"/>
      <c r="E34" s="420"/>
      <c r="F34" s="420"/>
      <c r="G34" s="99"/>
      <c r="H34" s="99"/>
      <c r="I34" s="99"/>
      <c r="J34" s="99"/>
    </row>
    <row r="35" spans="1:11" x14ac:dyDescent="0.2">
      <c r="A35" s="314" t="s">
        <v>610</v>
      </c>
      <c r="B35" s="315">
        <f>IF('Input Pg1'!C9=7,0,IF('Input Pg1'!C9=9,I79,0))</f>
        <v>0</v>
      </c>
      <c r="C35" s="315">
        <f>IF('Input Pg1'!C9=7,0,IF('Input Pg1'!C9=9,I80,0))</f>
        <v>0</v>
      </c>
      <c r="D35" s="315">
        <f>IF('Input Pg1'!C9=7,0,IF('Input Pg1'!C9=9,I81,0))</f>
        <v>0</v>
      </c>
      <c r="E35" s="315">
        <f>IF('Input Pg1'!C9=7,0,IF('Input Pg1'!C9=9,I82,0))</f>
        <v>0</v>
      </c>
      <c r="F35" s="315">
        <f>IF('Input Pg1'!C9=7,0,IF('Input Pg1'!C9=9,I83,0))</f>
        <v>0</v>
      </c>
      <c r="G35" s="316">
        <f>SUM(B35:F35)</f>
        <v>0</v>
      </c>
      <c r="H35" s="99"/>
      <c r="I35" s="99"/>
      <c r="J35" s="99"/>
    </row>
    <row r="36" spans="1:11" x14ac:dyDescent="0.2">
      <c r="A36" s="314" t="s">
        <v>622</v>
      </c>
      <c r="B36" s="315">
        <f>IF('Input Pg1'!C9=7,0,IF('Input Pg1'!C9=9,I70,0))</f>
        <v>0</v>
      </c>
      <c r="C36" s="315">
        <f>IF('Input Pg1'!C9=7,0,IF('Input Pg1'!C9=9,I71,0))</f>
        <v>0</v>
      </c>
      <c r="D36" s="315">
        <f>IF('Input Pg1'!C9=7,0,IF('Input Pg1'!C9=9,I72,0))</f>
        <v>0</v>
      </c>
      <c r="E36" s="315">
        <f>IF('Input Pg1'!C9=7,0,IF('Input Pg1'!C9=9,I73,0))</f>
        <v>0</v>
      </c>
      <c r="F36" s="315">
        <f>IF('Input Pg1'!C9=7,0,IF('Input Pg1'!C9=9,I74,0))</f>
        <v>0</v>
      </c>
      <c r="G36" s="316">
        <f>SUM(B36:F36)</f>
        <v>0</v>
      </c>
      <c r="H36" s="99"/>
      <c r="I36" s="99"/>
      <c r="J36" s="99"/>
    </row>
    <row r="37" spans="1:11" x14ac:dyDescent="0.2">
      <c r="A37" s="99"/>
      <c r="B37" s="99"/>
      <c r="C37" s="99"/>
      <c r="D37" s="99"/>
      <c r="E37" s="99"/>
      <c r="F37" s="99"/>
      <c r="G37" s="99"/>
      <c r="H37" s="99"/>
      <c r="I37" s="99"/>
      <c r="J37" s="99"/>
    </row>
    <row r="38" spans="1:11" x14ac:dyDescent="0.2">
      <c r="A38" s="99"/>
      <c r="B38" s="99"/>
      <c r="C38" s="99"/>
      <c r="D38" s="99"/>
      <c r="E38" s="99"/>
      <c r="F38" s="99"/>
      <c r="G38" s="99"/>
      <c r="H38" s="99"/>
      <c r="I38" s="99"/>
      <c r="J38" s="99"/>
    </row>
    <row r="39" spans="1:11" x14ac:dyDescent="0.2">
      <c r="A39" s="99"/>
      <c r="B39" s="99"/>
      <c r="C39" s="99"/>
      <c r="D39" s="99"/>
      <c r="E39" s="99"/>
      <c r="F39" s="99"/>
      <c r="G39" s="99"/>
      <c r="H39" s="99"/>
      <c r="I39" s="99"/>
      <c r="J39" s="99"/>
    </row>
    <row r="40" spans="1:11" hidden="1" x14ac:dyDescent="0.2">
      <c r="A40" s="319"/>
      <c r="B40" s="99"/>
      <c r="C40" s="99"/>
      <c r="D40" s="99"/>
      <c r="E40" s="99"/>
      <c r="F40" s="99"/>
      <c r="G40" s="99"/>
      <c r="H40" s="99"/>
      <c r="I40" s="99"/>
      <c r="J40" s="99"/>
    </row>
    <row r="41" spans="1:11" ht="14.25" hidden="1" x14ac:dyDescent="0.2">
      <c r="A41" s="320" t="s">
        <v>183</v>
      </c>
      <c r="B41" s="99"/>
      <c r="C41" s="99"/>
      <c r="D41" s="99"/>
      <c r="E41" s="99"/>
      <c r="F41" s="99"/>
      <c r="G41" s="99"/>
      <c r="H41" s="99"/>
      <c r="I41" s="99"/>
      <c r="J41" s="99"/>
    </row>
    <row r="42" spans="1:11" ht="14.25" hidden="1" x14ac:dyDescent="0.2">
      <c r="A42" s="320">
        <v>7</v>
      </c>
      <c r="B42" s="99"/>
      <c r="C42" s="99"/>
      <c r="D42" s="99"/>
      <c r="E42" s="99"/>
      <c r="F42" s="99"/>
      <c r="G42" s="99"/>
      <c r="H42" s="99"/>
      <c r="I42" s="99"/>
      <c r="J42" s="99"/>
    </row>
    <row r="43" spans="1:11" s="27" customFormat="1" ht="15" hidden="1" x14ac:dyDescent="0.25">
      <c r="A43" s="320">
        <v>9</v>
      </c>
      <c r="B43" s="99"/>
      <c r="C43" s="99"/>
      <c r="D43" s="99"/>
      <c r="E43" s="99"/>
      <c r="F43" s="99"/>
      <c r="G43" s="99"/>
      <c r="H43" s="99"/>
      <c r="I43" s="99"/>
      <c r="J43" s="99"/>
      <c r="K43"/>
    </row>
    <row r="44" spans="1:11" s="27" customFormat="1" ht="15" hidden="1" x14ac:dyDescent="0.25">
      <c r="A44" s="321"/>
      <c r="B44" s="99"/>
      <c r="C44" s="99"/>
      <c r="D44" s="99"/>
      <c r="E44" s="99"/>
      <c r="F44" s="99"/>
      <c r="G44" s="99"/>
      <c r="H44" s="99"/>
      <c r="I44" s="99"/>
      <c r="J44" s="99"/>
      <c r="K44"/>
    </row>
    <row r="45" spans="1:11" s="27" customFormat="1" ht="15" hidden="1" x14ac:dyDescent="0.25">
      <c r="A45" s="99"/>
      <c r="B45" s="99"/>
      <c r="C45" s="99"/>
      <c r="D45" s="99"/>
      <c r="E45" s="99"/>
      <c r="F45" s="99"/>
      <c r="G45" s="99"/>
      <c r="H45" s="99"/>
      <c r="I45" s="99"/>
      <c r="J45" s="99"/>
      <c r="K45"/>
    </row>
    <row r="46" spans="1:11" s="27" customFormat="1" ht="15" hidden="1" x14ac:dyDescent="0.25">
      <c r="A46" s="322" t="s">
        <v>300</v>
      </c>
      <c r="B46" s="321"/>
      <c r="C46" s="321"/>
      <c r="D46" s="321"/>
      <c r="E46" s="321"/>
      <c r="F46" s="321"/>
      <c r="G46" s="321"/>
      <c r="H46" s="323"/>
      <c r="I46" s="321"/>
      <c r="J46" s="321"/>
    </row>
    <row r="47" spans="1:11" s="27" customFormat="1" ht="15" hidden="1" x14ac:dyDescent="0.25">
      <c r="A47" s="542" t="s">
        <v>612</v>
      </c>
      <c r="B47" s="321"/>
      <c r="C47" s="321"/>
      <c r="D47" s="321"/>
      <c r="E47" s="324" t="s">
        <v>237</v>
      </c>
      <c r="F47" s="324"/>
      <c r="G47" s="324" t="s">
        <v>237</v>
      </c>
      <c r="H47" s="324"/>
      <c r="I47" s="324"/>
      <c r="J47" s="321"/>
    </row>
    <row r="48" spans="1:11" s="27" customFormat="1" ht="26.25" hidden="1" x14ac:dyDescent="0.25">
      <c r="A48" s="324" t="s">
        <v>65</v>
      </c>
      <c r="B48" s="324" t="s">
        <v>238</v>
      </c>
      <c r="C48" s="324" t="s">
        <v>239</v>
      </c>
      <c r="D48" s="324" t="s">
        <v>240</v>
      </c>
      <c r="E48" s="325" t="s">
        <v>295</v>
      </c>
      <c r="F48" s="325" t="s">
        <v>296</v>
      </c>
      <c r="G48" s="325" t="s">
        <v>297</v>
      </c>
      <c r="H48" s="325" t="s">
        <v>298</v>
      </c>
      <c r="I48" s="326" t="s">
        <v>611</v>
      </c>
    </row>
    <row r="49" spans="1:10" s="27" customFormat="1" ht="15" hidden="1" x14ac:dyDescent="0.25">
      <c r="A49" s="324" t="s">
        <v>526</v>
      </c>
      <c r="B49" s="465">
        <f>'Input Pg1'!C54+'Input Pg1'!C55</f>
        <v>0</v>
      </c>
      <c r="C49" s="466">
        <f>IF(B49=0,0,('Input Pg1'!E54*'Input Pg1'!C54+'Input Pg1'!E55*'Input Pg1'!C55)/('Input Pg1'!C54+'Input Pg1'!C55))</f>
        <v>0</v>
      </c>
      <c r="D49" s="327">
        <f>B49*C49</f>
        <v>0</v>
      </c>
      <c r="E49" s="470">
        <f>0.74*'BY24 Update'!C8+0.26*'BY24 Update'!D8</f>
        <v>1492.7865999999999</v>
      </c>
      <c r="F49" s="471">
        <f>0.74*1+0.26*1.032</f>
        <v>1.0083199999999999</v>
      </c>
      <c r="G49" s="313">
        <f>E49*F49</f>
        <v>1505.2065845119998</v>
      </c>
      <c r="H49" s="330">
        <f>G49-E49</f>
        <v>12.419984511999928</v>
      </c>
      <c r="I49" s="331">
        <f>H49*D49</f>
        <v>0</v>
      </c>
    </row>
    <row r="50" spans="1:10" s="27" customFormat="1" ht="15" hidden="1" x14ac:dyDescent="0.25">
      <c r="A50" s="324" t="s">
        <v>527</v>
      </c>
      <c r="B50" s="465">
        <f>'Input Pg1'!C56</f>
        <v>0</v>
      </c>
      <c r="C50" s="466">
        <f>'Input Pg1'!E56</f>
        <v>0</v>
      </c>
      <c r="D50" s="327">
        <f>B50*C50</f>
        <v>0</v>
      </c>
      <c r="E50" s="328">
        <f>'BY24 Update'!$D$8</f>
        <v>525.91</v>
      </c>
      <c r="F50" s="329">
        <v>1.032</v>
      </c>
      <c r="G50" s="313">
        <f>E50*F50</f>
        <v>542.73911999999996</v>
      </c>
      <c r="H50" s="330">
        <f>G50-E50</f>
        <v>16.829119999999989</v>
      </c>
      <c r="I50" s="331">
        <f>H50*D50</f>
        <v>0</v>
      </c>
    </row>
    <row r="51" spans="1:10" s="27" customFormat="1" ht="15" hidden="1" x14ac:dyDescent="0.25">
      <c r="A51" s="324" t="s">
        <v>420</v>
      </c>
      <c r="B51" s="465">
        <f>'Input Pg1'!C57</f>
        <v>0</v>
      </c>
      <c r="C51" s="466">
        <f>'Input Pg1'!E57</f>
        <v>0</v>
      </c>
      <c r="D51" s="327">
        <f>B51*C51</f>
        <v>0</v>
      </c>
      <c r="E51" s="332">
        <f>'BY24 Update'!$E$8</f>
        <v>525.91</v>
      </c>
      <c r="F51" s="329">
        <v>1.032</v>
      </c>
      <c r="G51" s="313">
        <f>E51*F51</f>
        <v>542.73911999999996</v>
      </c>
      <c r="H51" s="330">
        <f>G51-E51</f>
        <v>16.829119999999989</v>
      </c>
      <c r="I51" s="331">
        <f>H51*D51</f>
        <v>0</v>
      </c>
    </row>
    <row r="52" spans="1:10" s="27" customFormat="1" ht="15" hidden="1" x14ac:dyDescent="0.25">
      <c r="A52" s="324" t="s">
        <v>419</v>
      </c>
      <c r="B52" s="465">
        <f>'Input Pg1'!C58</f>
        <v>0</v>
      </c>
      <c r="C52" s="466">
        <f>'Input Pg1'!E58</f>
        <v>1</v>
      </c>
      <c r="D52" s="327">
        <f>B52*C52</f>
        <v>0</v>
      </c>
      <c r="E52" s="328">
        <f>'BY24 Update'!$F$8</f>
        <v>714.32</v>
      </c>
      <c r="F52" s="329">
        <f>(1.005+1.01)/2</f>
        <v>1.0074999999999998</v>
      </c>
      <c r="G52" s="313">
        <f>E52*F52</f>
        <v>719.67739999999992</v>
      </c>
      <c r="H52" s="330">
        <f>G52-E52</f>
        <v>5.3573999999998705</v>
      </c>
      <c r="I52" s="331">
        <f>H52*D52</f>
        <v>0</v>
      </c>
    </row>
    <row r="53" spans="1:10" s="27" customFormat="1" ht="15.75" hidden="1" thickBot="1" x14ac:dyDescent="0.3">
      <c r="A53" s="337" t="s">
        <v>86</v>
      </c>
      <c r="B53" s="467">
        <f>'Input Pg1'!C59</f>
        <v>0</v>
      </c>
      <c r="C53" s="468">
        <f>'Input Pg1'!E59</f>
        <v>0</v>
      </c>
      <c r="D53" s="469">
        <f>B53*C53</f>
        <v>0</v>
      </c>
      <c r="E53" s="338">
        <f>'BY24 Update'!$G$8</f>
        <v>1402.1</v>
      </c>
      <c r="F53" s="339">
        <f>AVERAGE(F49,F51,F52)</f>
        <v>1.0159399999999998</v>
      </c>
      <c r="G53" s="338">
        <f>E53*F53</f>
        <v>1424.4494739999998</v>
      </c>
      <c r="H53" s="472">
        <f>G53-E53</f>
        <v>22.349473999999873</v>
      </c>
      <c r="I53" s="340">
        <f>H53*D53</f>
        <v>0</v>
      </c>
    </row>
    <row r="54" spans="1:10" s="27" customFormat="1" ht="16.5" hidden="1" thickTop="1" x14ac:dyDescent="0.25">
      <c r="A54" s="324" t="s">
        <v>613</v>
      </c>
      <c r="B54" s="321"/>
      <c r="C54" s="321"/>
      <c r="D54" s="465">
        <f>SUM(D49:D53)</f>
        <v>0</v>
      </c>
      <c r="E54" s="321"/>
      <c r="F54" s="321"/>
      <c r="G54" s="321"/>
      <c r="H54" s="341" t="e">
        <f>I54/D54</f>
        <v>#DIV/0!</v>
      </c>
      <c r="I54" s="342">
        <f>SUM(I49:I53)</f>
        <v>0</v>
      </c>
    </row>
    <row r="55" spans="1:10" s="27" customFormat="1" ht="15" hidden="1" x14ac:dyDescent="0.25"/>
    <row r="56" spans="1:10" s="27" customFormat="1" ht="15" hidden="1" x14ac:dyDescent="0.25">
      <c r="A56" s="542" t="s">
        <v>614</v>
      </c>
      <c r="B56" s="321"/>
      <c r="C56" s="321"/>
      <c r="D56" s="321"/>
      <c r="E56" s="324" t="s">
        <v>617</v>
      </c>
      <c r="F56" s="324"/>
      <c r="G56" s="324" t="s">
        <v>617</v>
      </c>
      <c r="H56" s="324"/>
      <c r="I56" s="324"/>
      <c r="J56" s="321"/>
    </row>
    <row r="57" spans="1:10" s="27" customFormat="1" ht="26.25" hidden="1" x14ac:dyDescent="0.25">
      <c r="A57" s="324" t="s">
        <v>65</v>
      </c>
      <c r="B57" s="324" t="s">
        <v>238</v>
      </c>
      <c r="C57" s="324" t="s">
        <v>616</v>
      </c>
      <c r="D57" s="324" t="s">
        <v>620</v>
      </c>
      <c r="E57" s="325" t="s">
        <v>618</v>
      </c>
      <c r="F57" s="325" t="s">
        <v>296</v>
      </c>
      <c r="G57" s="325" t="s">
        <v>619</v>
      </c>
      <c r="H57" s="325" t="s">
        <v>298</v>
      </c>
      <c r="I57" s="326" t="s">
        <v>621</v>
      </c>
    </row>
    <row r="58" spans="1:10" s="27" customFormat="1" ht="15" hidden="1" x14ac:dyDescent="0.25">
      <c r="A58" s="324" t="s">
        <v>526</v>
      </c>
      <c r="B58" s="465">
        <f>B49</f>
        <v>0</v>
      </c>
      <c r="C58" s="466">
        <f>1-C49</f>
        <v>1</v>
      </c>
      <c r="D58" s="327">
        <f>B58*C58</f>
        <v>0</v>
      </c>
      <c r="E58" s="470">
        <f>0.74*'BY24 Update'!C7+0.26*'BY24 Update'!D7</f>
        <v>1867.5627999999999</v>
      </c>
      <c r="F58" s="471">
        <f>0.74*1+0.26*1.032</f>
        <v>1.0083199999999999</v>
      </c>
      <c r="G58" s="313">
        <f>E58*F58</f>
        <v>1883.1009224959996</v>
      </c>
      <c r="H58" s="330">
        <f>G58-E58</f>
        <v>15.538122495999687</v>
      </c>
      <c r="I58" s="331">
        <f>H58*D58</f>
        <v>0</v>
      </c>
    </row>
    <row r="59" spans="1:10" s="27" customFormat="1" ht="15" hidden="1" x14ac:dyDescent="0.25">
      <c r="A59" s="324" t="s">
        <v>527</v>
      </c>
      <c r="B59" s="465">
        <f>B50</f>
        <v>0</v>
      </c>
      <c r="C59" s="466">
        <f>1-C50</f>
        <v>1</v>
      </c>
      <c r="D59" s="327">
        <f>B59*C59</f>
        <v>0</v>
      </c>
      <c r="E59" s="328">
        <f>'BY24 Update'!D7</f>
        <v>504.69</v>
      </c>
      <c r="F59" s="329">
        <v>1.032</v>
      </c>
      <c r="G59" s="313">
        <f>E59*F59</f>
        <v>520.84008000000006</v>
      </c>
      <c r="H59" s="330">
        <f>G59-E59</f>
        <v>16.150080000000059</v>
      </c>
      <c r="I59" s="331">
        <f>H59*D59</f>
        <v>0</v>
      </c>
    </row>
    <row r="60" spans="1:10" s="27" customFormat="1" ht="15" hidden="1" x14ac:dyDescent="0.25">
      <c r="A60" s="324" t="s">
        <v>420</v>
      </c>
      <c r="B60" s="465">
        <f>B51</f>
        <v>0</v>
      </c>
      <c r="C60" s="466">
        <f>1-C51</f>
        <v>1</v>
      </c>
      <c r="D60" s="327">
        <f>B60*C60</f>
        <v>0</v>
      </c>
      <c r="E60" s="332">
        <f>'BY24 Update'!E7</f>
        <v>504.69</v>
      </c>
      <c r="F60" s="329">
        <v>1.032</v>
      </c>
      <c r="G60" s="313">
        <f>E60*F60</f>
        <v>520.84008000000006</v>
      </c>
      <c r="H60" s="330">
        <f>G60-E60</f>
        <v>16.150080000000059</v>
      </c>
      <c r="I60" s="331">
        <f>H60*D60</f>
        <v>0</v>
      </c>
    </row>
    <row r="61" spans="1:10" s="27" customFormat="1" ht="15" hidden="1" x14ac:dyDescent="0.25">
      <c r="A61" s="324" t="s">
        <v>419</v>
      </c>
      <c r="B61" s="465">
        <f>B52</f>
        <v>0</v>
      </c>
      <c r="C61" s="466">
        <f>1-C52</f>
        <v>0</v>
      </c>
      <c r="D61" s="327">
        <f>B61*C61</f>
        <v>0</v>
      </c>
      <c r="E61" s="328">
        <f>'BY24 Update'!F7</f>
        <v>0</v>
      </c>
      <c r="F61" s="329">
        <f>(1.005+1.01)/2</f>
        <v>1.0074999999999998</v>
      </c>
      <c r="G61" s="313">
        <f>E61*F61</f>
        <v>0</v>
      </c>
      <c r="H61" s="330">
        <f>G61-E61</f>
        <v>0</v>
      </c>
      <c r="I61" s="331">
        <f>H61*D61</f>
        <v>0</v>
      </c>
    </row>
    <row r="62" spans="1:10" s="27" customFormat="1" ht="15.75" hidden="1" thickBot="1" x14ac:dyDescent="0.3">
      <c r="A62" s="337" t="s">
        <v>86</v>
      </c>
      <c r="B62" s="467">
        <f>B53</f>
        <v>0</v>
      </c>
      <c r="C62" s="468">
        <f>1-C53</f>
        <v>1</v>
      </c>
      <c r="D62" s="469">
        <f>B62*C62</f>
        <v>0</v>
      </c>
      <c r="E62" s="338">
        <f>'BY24 Update'!G7</f>
        <v>1754.48</v>
      </c>
      <c r="F62" s="339">
        <f>AVERAGE(F58,F60,F61)</f>
        <v>1.0159399999999998</v>
      </c>
      <c r="G62" s="338">
        <f>E62*F62</f>
        <v>1782.4464111999998</v>
      </c>
      <c r="H62" s="472">
        <f>G62-E62</f>
        <v>27.966411199999811</v>
      </c>
      <c r="I62" s="340">
        <f>H62*D62</f>
        <v>0</v>
      </c>
    </row>
    <row r="63" spans="1:10" s="27" customFormat="1" ht="16.5" hidden="1" thickTop="1" x14ac:dyDescent="0.25">
      <c r="A63" s="324" t="s">
        <v>615</v>
      </c>
      <c r="B63" s="321"/>
      <c r="C63" s="321"/>
      <c r="D63" s="465">
        <f>SUM(D58:D62)</f>
        <v>0</v>
      </c>
      <c r="E63" s="321"/>
      <c r="F63" s="321"/>
      <c r="G63" s="321"/>
      <c r="H63" s="341" t="e">
        <f>I63/D63</f>
        <v>#DIV/0!</v>
      </c>
      <c r="I63" s="342">
        <f>SUM(I58:I62)</f>
        <v>0</v>
      </c>
    </row>
    <row r="64" spans="1:10" s="27" customFormat="1" ht="15" hidden="1" x14ac:dyDescent="0.25"/>
    <row r="65" spans="1:11" s="27" customFormat="1" ht="15" hidden="1" x14ac:dyDescent="0.25">
      <c r="A65" s="343"/>
      <c r="B65" s="321"/>
      <c r="C65" s="321"/>
      <c r="D65" s="321"/>
      <c r="E65" s="321"/>
      <c r="F65" s="321"/>
      <c r="G65" s="321"/>
      <c r="H65" s="323"/>
      <c r="I65" s="321"/>
      <c r="J65" s="321"/>
    </row>
    <row r="66" spans="1:11" s="27" customFormat="1" ht="15" hidden="1" x14ac:dyDescent="0.25">
      <c r="A66" s="343"/>
      <c r="B66" s="321"/>
      <c r="C66" s="321"/>
      <c r="D66" s="321"/>
      <c r="E66" s="321"/>
      <c r="F66" s="321"/>
      <c r="G66" s="321"/>
      <c r="H66" s="323"/>
      <c r="I66" s="321"/>
      <c r="J66" s="321"/>
    </row>
    <row r="67" spans="1:11" s="27" customFormat="1" ht="15" hidden="1" x14ac:dyDescent="0.25">
      <c r="A67" s="344" t="s">
        <v>301</v>
      </c>
      <c r="B67" s="321"/>
      <c r="C67" s="321"/>
      <c r="D67" s="321"/>
      <c r="E67" s="321"/>
      <c r="F67" s="321"/>
      <c r="G67" s="321"/>
      <c r="H67" s="323"/>
      <c r="I67" s="321"/>
      <c r="J67" s="321"/>
    </row>
    <row r="68" spans="1:11" s="27" customFormat="1" ht="15" hidden="1" x14ac:dyDescent="0.25">
      <c r="A68" s="542" t="s">
        <v>612</v>
      </c>
      <c r="B68" s="321"/>
      <c r="C68" s="321"/>
      <c r="D68" s="321"/>
      <c r="E68" s="324" t="s">
        <v>237</v>
      </c>
      <c r="F68" s="324"/>
      <c r="G68" s="324" t="s">
        <v>237</v>
      </c>
      <c r="H68" s="324"/>
      <c r="I68" s="324"/>
      <c r="J68" s="321"/>
    </row>
    <row r="69" spans="1:11" s="27" customFormat="1" ht="26.25" hidden="1" x14ac:dyDescent="0.25">
      <c r="A69" s="324" t="s">
        <v>65</v>
      </c>
      <c r="B69" s="324" t="s">
        <v>238</v>
      </c>
      <c r="C69" s="324" t="s">
        <v>239</v>
      </c>
      <c r="D69" s="324" t="s">
        <v>240</v>
      </c>
      <c r="E69" s="325" t="s">
        <v>295</v>
      </c>
      <c r="F69" s="325" t="s">
        <v>296</v>
      </c>
      <c r="G69" s="325" t="s">
        <v>297</v>
      </c>
      <c r="H69" s="325" t="s">
        <v>298</v>
      </c>
      <c r="I69" s="326" t="s">
        <v>299</v>
      </c>
      <c r="J69" s="321"/>
    </row>
    <row r="70" spans="1:11" s="27" customFormat="1" ht="15" hidden="1" x14ac:dyDescent="0.25">
      <c r="A70" s="324" t="str">
        <f>A49</f>
        <v>OG SS</v>
      </c>
      <c r="B70" s="465">
        <f>'Input Pg1'!C66+'Input Pg1'!C67</f>
        <v>0</v>
      </c>
      <c r="C70" s="333">
        <f>IF(B70=0,0,('Input Pg1'!C66*'Input Pg1'!E66+'Input Pg1'!C67*'Input Pg1'!E67)/('Input Pg1'!C66+'Input Pg1'!C67))</f>
        <v>0</v>
      </c>
      <c r="D70" s="327">
        <f>B70*C70</f>
        <v>0</v>
      </c>
      <c r="E70" s="334">
        <f>E49</f>
        <v>1492.7865999999999</v>
      </c>
      <c r="F70" s="471">
        <f>F49</f>
        <v>1.0083199999999999</v>
      </c>
      <c r="G70" s="336">
        <f>E70*F70</f>
        <v>1505.2065845119998</v>
      </c>
      <c r="H70" s="330">
        <f>G70-E70</f>
        <v>12.419984511999928</v>
      </c>
      <c r="I70" s="331">
        <f>H70*D70</f>
        <v>0</v>
      </c>
      <c r="J70" s="321"/>
    </row>
    <row r="71" spans="1:11" s="27" customFormat="1" ht="15" hidden="1" x14ac:dyDescent="0.25">
      <c r="A71" s="324" t="str">
        <f>A50</f>
        <v>YG SS</v>
      </c>
      <c r="B71" s="327">
        <f>'Input Pg1'!C68</f>
        <v>0</v>
      </c>
      <c r="C71" s="333">
        <f>'Input Pg1'!E68</f>
        <v>1</v>
      </c>
      <c r="D71" s="327">
        <f>B71*C71</f>
        <v>0</v>
      </c>
      <c r="E71" s="334">
        <f t="shared" ref="E71:F74" si="0">E50</f>
        <v>525.91</v>
      </c>
      <c r="F71" s="471">
        <f t="shared" si="0"/>
        <v>1.032</v>
      </c>
      <c r="G71" s="313">
        <f>E71*F71</f>
        <v>542.73911999999996</v>
      </c>
      <c r="H71" s="330">
        <f>G71-E71</f>
        <v>16.829119999999989</v>
      </c>
      <c r="I71" s="331">
        <f>H71*D71</f>
        <v>0</v>
      </c>
      <c r="J71" s="321"/>
    </row>
    <row r="72" spans="1:11" s="27" customFormat="1" ht="15" hidden="1" x14ac:dyDescent="0.25">
      <c r="A72" s="324" t="s">
        <v>420</v>
      </c>
      <c r="B72" s="327">
        <f>'Input Pg1'!C69</f>
        <v>0</v>
      </c>
      <c r="C72" s="333">
        <f>'Input Pg1'!E69</f>
        <v>1</v>
      </c>
      <c r="D72" s="327">
        <f>B72*C72</f>
        <v>0</v>
      </c>
      <c r="E72" s="334">
        <f t="shared" si="0"/>
        <v>525.91</v>
      </c>
      <c r="F72" s="471">
        <f t="shared" si="0"/>
        <v>1.032</v>
      </c>
      <c r="G72" s="313">
        <f>E72*F72</f>
        <v>542.73911999999996</v>
      </c>
      <c r="H72" s="330">
        <f>G72-E72</f>
        <v>16.829119999999989</v>
      </c>
      <c r="I72" s="331">
        <f>H72*D72</f>
        <v>0</v>
      </c>
      <c r="J72" s="321"/>
    </row>
    <row r="73" spans="1:11" s="27" customFormat="1" ht="15" hidden="1" x14ac:dyDescent="0.25">
      <c r="A73" s="324" t="s">
        <v>419</v>
      </c>
      <c r="B73" s="327">
        <f>'Input Pg1'!C70</f>
        <v>0</v>
      </c>
      <c r="C73" s="333">
        <f>'Input Pg1'!E70</f>
        <v>1</v>
      </c>
      <c r="D73" s="327">
        <f>B73*C73</f>
        <v>0</v>
      </c>
      <c r="E73" s="334">
        <f t="shared" si="0"/>
        <v>714.32</v>
      </c>
      <c r="F73" s="471">
        <f t="shared" si="0"/>
        <v>1.0074999999999998</v>
      </c>
      <c r="G73" s="313">
        <f>E73*F73</f>
        <v>719.67739999999992</v>
      </c>
      <c r="H73" s="330">
        <f>G73-E73</f>
        <v>5.3573999999998705</v>
      </c>
      <c r="I73" s="331">
        <f>H73*D73</f>
        <v>0</v>
      </c>
      <c r="J73" s="321"/>
    </row>
    <row r="74" spans="1:11" ht="15.75" hidden="1" thickBot="1" x14ac:dyDescent="0.3">
      <c r="A74" s="337" t="s">
        <v>86</v>
      </c>
      <c r="B74" s="469">
        <f>'Input Pg1'!C71</f>
        <v>0</v>
      </c>
      <c r="C74" s="475">
        <f>'Input Pg1'!E71</f>
        <v>0</v>
      </c>
      <c r="D74" s="469">
        <f>B74*C74</f>
        <v>0</v>
      </c>
      <c r="E74" s="516">
        <f t="shared" si="0"/>
        <v>1402.1</v>
      </c>
      <c r="F74" s="517">
        <f t="shared" si="0"/>
        <v>1.0159399999999998</v>
      </c>
      <c r="G74" s="338">
        <f>E74*F74</f>
        <v>1424.4494739999998</v>
      </c>
      <c r="H74" s="472">
        <f>G74-E74</f>
        <v>22.349473999999873</v>
      </c>
      <c r="I74" s="340">
        <f>H74*D74</f>
        <v>0</v>
      </c>
      <c r="J74" s="321"/>
      <c r="K74" s="27"/>
    </row>
    <row r="75" spans="1:11" ht="16.5" hidden="1" thickTop="1" x14ac:dyDescent="0.25">
      <c r="A75" s="324" t="s">
        <v>613</v>
      </c>
      <c r="B75" s="321"/>
      <c r="C75" s="321"/>
      <c r="D75" s="465">
        <f>SUM(D70:D74)</f>
        <v>0</v>
      </c>
      <c r="E75" s="321"/>
      <c r="F75" s="321"/>
      <c r="G75" s="329"/>
      <c r="H75" s="341" t="e">
        <f>I75/D75</f>
        <v>#DIV/0!</v>
      </c>
      <c r="I75" s="342">
        <f>SUM(I70:I74)</f>
        <v>0</v>
      </c>
      <c r="J75" s="321"/>
      <c r="K75" s="27"/>
    </row>
    <row r="76" spans="1:11" ht="15" hidden="1" x14ac:dyDescent="0.25">
      <c r="J76" s="321"/>
      <c r="K76" s="27"/>
    </row>
    <row r="77" spans="1:11" s="27" customFormat="1" ht="15" hidden="1" x14ac:dyDescent="0.25">
      <c r="A77" s="542" t="s">
        <v>614</v>
      </c>
      <c r="B77" s="321"/>
      <c r="C77" s="321"/>
      <c r="D77" s="321"/>
      <c r="E77" s="324" t="s">
        <v>617</v>
      </c>
      <c r="F77" s="324"/>
      <c r="G77" s="324" t="s">
        <v>617</v>
      </c>
      <c r="H77" s="324"/>
      <c r="I77" s="324"/>
      <c r="J77" s="321"/>
    </row>
    <row r="78" spans="1:11" s="27" customFormat="1" ht="26.25" hidden="1" x14ac:dyDescent="0.25">
      <c r="A78" s="324" t="s">
        <v>65</v>
      </c>
      <c r="B78" s="324" t="s">
        <v>238</v>
      </c>
      <c r="C78" s="324" t="s">
        <v>616</v>
      </c>
      <c r="D78" s="324" t="s">
        <v>620</v>
      </c>
      <c r="E78" s="325" t="s">
        <v>618</v>
      </c>
      <c r="F78" s="325" t="s">
        <v>296</v>
      </c>
      <c r="G78" s="325" t="s">
        <v>619</v>
      </c>
      <c r="H78" s="325" t="s">
        <v>298</v>
      </c>
      <c r="I78" s="326" t="s">
        <v>621</v>
      </c>
    </row>
    <row r="79" spans="1:11" s="27" customFormat="1" ht="15" hidden="1" x14ac:dyDescent="0.25">
      <c r="A79" s="324" t="s">
        <v>526</v>
      </c>
      <c r="B79" s="465">
        <f>B70</f>
        <v>0</v>
      </c>
      <c r="C79" s="466">
        <f>1-C70</f>
        <v>1</v>
      </c>
      <c r="D79" s="327">
        <f>B79*C79</f>
        <v>0</v>
      </c>
      <c r="E79" s="470">
        <f>0.74*'BY24 Update'!C7+0.26*'BY24 Update'!D7</f>
        <v>1867.5627999999999</v>
      </c>
      <c r="F79" s="471">
        <f>0.74*1+0.26*1.032</f>
        <v>1.0083199999999999</v>
      </c>
      <c r="G79" s="313">
        <f>E79*F79</f>
        <v>1883.1009224959996</v>
      </c>
      <c r="H79" s="330">
        <f>G79-E79</f>
        <v>15.538122495999687</v>
      </c>
      <c r="I79" s="331">
        <f>H79*D79</f>
        <v>0</v>
      </c>
    </row>
    <row r="80" spans="1:11" s="27" customFormat="1" ht="15" hidden="1" x14ac:dyDescent="0.25">
      <c r="A80" s="324" t="s">
        <v>527</v>
      </c>
      <c r="B80" s="465">
        <f>B71</f>
        <v>0</v>
      </c>
      <c r="C80" s="466">
        <f>1-C71</f>
        <v>0</v>
      </c>
      <c r="D80" s="327">
        <f>B80*C80</f>
        <v>0</v>
      </c>
      <c r="E80" s="328">
        <f>'BY24 Update'!D7</f>
        <v>504.69</v>
      </c>
      <c r="F80" s="329">
        <v>1.032</v>
      </c>
      <c r="G80" s="313">
        <f>E80*F80</f>
        <v>520.84008000000006</v>
      </c>
      <c r="H80" s="330">
        <f>G80-E80</f>
        <v>16.150080000000059</v>
      </c>
      <c r="I80" s="331">
        <f>H80*D80</f>
        <v>0</v>
      </c>
    </row>
    <row r="81" spans="1:10" s="27" customFormat="1" ht="15" hidden="1" x14ac:dyDescent="0.25">
      <c r="A81" s="324" t="s">
        <v>420</v>
      </c>
      <c r="B81" s="465">
        <f>B72</f>
        <v>0</v>
      </c>
      <c r="C81" s="466">
        <f>1-C72</f>
        <v>0</v>
      </c>
      <c r="D81" s="327">
        <f>B81*C81</f>
        <v>0</v>
      </c>
      <c r="E81" s="332">
        <f>'BY24 Update'!E7</f>
        <v>504.69</v>
      </c>
      <c r="F81" s="329">
        <v>1.032</v>
      </c>
      <c r="G81" s="313">
        <f>E81*F81</f>
        <v>520.84008000000006</v>
      </c>
      <c r="H81" s="330">
        <f>G81-E81</f>
        <v>16.150080000000059</v>
      </c>
      <c r="I81" s="331">
        <f>H81*D81</f>
        <v>0</v>
      </c>
    </row>
    <row r="82" spans="1:10" s="27" customFormat="1" ht="15" hidden="1" x14ac:dyDescent="0.25">
      <c r="A82" s="324" t="s">
        <v>419</v>
      </c>
      <c r="B82" s="465">
        <f>B73</f>
        <v>0</v>
      </c>
      <c r="C82" s="466">
        <f>1-C73</f>
        <v>0</v>
      </c>
      <c r="D82" s="327">
        <f>B82*C82</f>
        <v>0</v>
      </c>
      <c r="E82" s="328">
        <f>'BY24 Update'!F7</f>
        <v>0</v>
      </c>
      <c r="F82" s="329">
        <f>(1.005+1.01)/2</f>
        <v>1.0074999999999998</v>
      </c>
      <c r="G82" s="313">
        <f>E82*F82</f>
        <v>0</v>
      </c>
      <c r="H82" s="330">
        <f>G82-E82</f>
        <v>0</v>
      </c>
      <c r="I82" s="331">
        <f>H82*D82</f>
        <v>0</v>
      </c>
    </row>
    <row r="83" spans="1:10" s="27" customFormat="1" ht="15.75" hidden="1" thickBot="1" x14ac:dyDescent="0.3">
      <c r="A83" s="337" t="s">
        <v>86</v>
      </c>
      <c r="B83" s="467">
        <f>B74</f>
        <v>0</v>
      </c>
      <c r="C83" s="468">
        <f>1-C74</f>
        <v>1</v>
      </c>
      <c r="D83" s="469">
        <f>B83*C83</f>
        <v>0</v>
      </c>
      <c r="E83" s="338">
        <f>'BY24 Update'!G7</f>
        <v>1754.48</v>
      </c>
      <c r="F83" s="339">
        <f>AVERAGE(F79,F81,F82)</f>
        <v>1.0159399999999998</v>
      </c>
      <c r="G83" s="338">
        <f>E83*F83</f>
        <v>1782.4464111999998</v>
      </c>
      <c r="H83" s="472">
        <f>G83-E83</f>
        <v>27.966411199999811</v>
      </c>
      <c r="I83" s="340">
        <f>H83*D83</f>
        <v>0</v>
      </c>
    </row>
    <row r="84" spans="1:10" s="27" customFormat="1" ht="16.5" hidden="1" thickTop="1" x14ac:dyDescent="0.25">
      <c r="A84" s="324" t="s">
        <v>615</v>
      </c>
      <c r="B84" s="321"/>
      <c r="C84" s="321"/>
      <c r="D84" s="465">
        <f>SUM(D79:D83)</f>
        <v>0</v>
      </c>
      <c r="E84" s="321"/>
      <c r="F84" s="321"/>
      <c r="G84" s="321"/>
      <c r="H84" s="341" t="e">
        <f>I84/D84</f>
        <v>#DIV/0!</v>
      </c>
      <c r="I84" s="342">
        <f>SUM(I79:I83)</f>
        <v>0</v>
      </c>
    </row>
    <row r="85" spans="1:10" hidden="1" x14ac:dyDescent="0.2">
      <c r="A85" s="99"/>
      <c r="B85" s="99"/>
      <c r="C85" s="99"/>
      <c r="D85" s="99"/>
      <c r="E85" s="99"/>
      <c r="F85" s="99"/>
      <c r="G85" s="329"/>
      <c r="H85" s="99"/>
      <c r="I85" s="99"/>
      <c r="J85" s="99"/>
    </row>
    <row r="86" spans="1:10" hidden="1" x14ac:dyDescent="0.2">
      <c r="A86" s="99"/>
      <c r="B86" s="99"/>
      <c r="C86" s="99"/>
      <c r="D86" s="99"/>
      <c r="E86" s="99"/>
      <c r="F86" s="99"/>
      <c r="G86" s="335"/>
      <c r="H86" s="99"/>
      <c r="I86" s="99"/>
      <c r="J86" s="99"/>
    </row>
    <row r="87" spans="1:10" hidden="1" x14ac:dyDescent="0.2">
      <c r="A87" s="99"/>
      <c r="B87" s="99"/>
      <c r="C87" s="99"/>
      <c r="D87" s="99"/>
      <c r="E87" s="99"/>
      <c r="F87" s="99"/>
      <c r="G87" s="99"/>
      <c r="H87" s="99"/>
      <c r="I87" s="99"/>
      <c r="J87" s="99"/>
    </row>
    <row r="88" spans="1:10" hidden="1" x14ac:dyDescent="0.2">
      <c r="A88" s="99"/>
      <c r="B88" s="99"/>
      <c r="C88" s="99"/>
      <c r="D88" s="99"/>
      <c r="E88" s="99"/>
      <c r="F88" s="99"/>
      <c r="G88" s="99"/>
      <c r="H88" s="99"/>
      <c r="I88" s="99"/>
      <c r="J88" s="99"/>
    </row>
    <row r="89" spans="1:10" hidden="1" x14ac:dyDescent="0.2">
      <c r="A89" s="99"/>
      <c r="B89" s="99"/>
      <c r="C89" s="99"/>
      <c r="D89" s="99"/>
      <c r="E89" s="99"/>
      <c r="F89" s="99"/>
      <c r="G89" s="99"/>
      <c r="H89" s="99"/>
      <c r="I89" s="99"/>
      <c r="J89" s="99"/>
    </row>
    <row r="90" spans="1:10" x14ac:dyDescent="0.2">
      <c r="A90" s="99"/>
      <c r="B90" s="99"/>
      <c r="C90" s="99"/>
      <c r="D90" s="99"/>
      <c r="E90" s="99"/>
      <c r="F90" s="99"/>
      <c r="G90" s="99"/>
      <c r="H90" s="99"/>
      <c r="I90" s="99"/>
      <c r="J90" s="99"/>
    </row>
    <row r="91" spans="1:10" x14ac:dyDescent="0.2">
      <c r="A91" s="99"/>
      <c r="B91" s="99"/>
      <c r="C91" s="99"/>
      <c r="D91" s="99"/>
      <c r="E91" s="99"/>
      <c r="F91" s="99"/>
      <c r="G91" s="99"/>
      <c r="H91" s="99"/>
      <c r="I91" s="99"/>
      <c r="J91" s="99"/>
    </row>
    <row r="92" spans="1:10" x14ac:dyDescent="0.2">
      <c r="A92" s="99"/>
      <c r="B92" s="99"/>
      <c r="C92" s="99"/>
      <c r="D92" s="99"/>
      <c r="E92" s="99"/>
      <c r="F92" s="99"/>
      <c r="G92" s="99"/>
      <c r="H92" s="99"/>
      <c r="I92" s="99"/>
      <c r="J92" s="99"/>
    </row>
    <row r="93" spans="1:10" x14ac:dyDescent="0.2">
      <c r="A93" s="99"/>
      <c r="B93" s="99"/>
      <c r="C93" s="99"/>
      <c r="D93" s="99"/>
      <c r="E93" s="99"/>
      <c r="F93" s="99"/>
      <c r="G93" s="99"/>
      <c r="H93" s="99"/>
      <c r="I93" s="99"/>
      <c r="J93" s="99"/>
    </row>
    <row r="94" spans="1:10" x14ac:dyDescent="0.2">
      <c r="A94" s="99"/>
      <c r="B94" s="99"/>
      <c r="C94" s="99"/>
      <c r="D94" s="99"/>
      <c r="E94" s="99"/>
      <c r="F94" s="99"/>
      <c r="G94" s="99"/>
      <c r="H94" s="99"/>
      <c r="I94" s="99"/>
      <c r="J94" s="99"/>
    </row>
    <row r="95" spans="1:10" x14ac:dyDescent="0.2">
      <c r="A95" s="99"/>
      <c r="B95" s="99"/>
      <c r="C95" s="99"/>
      <c r="D95" s="99"/>
      <c r="E95" s="99"/>
      <c r="F95" s="99"/>
      <c r="G95" s="99"/>
      <c r="H95" s="99"/>
      <c r="I95" s="99"/>
      <c r="J95" s="99"/>
    </row>
    <row r="96" spans="1:10" x14ac:dyDescent="0.2">
      <c r="A96" s="99"/>
      <c r="B96" s="99"/>
      <c r="C96" s="99"/>
      <c r="D96" s="99"/>
      <c r="E96" s="99"/>
      <c r="F96" s="99"/>
      <c r="G96" s="99"/>
      <c r="H96" s="99"/>
      <c r="I96" s="99"/>
      <c r="J96" s="99"/>
    </row>
    <row r="97" spans="1:10" x14ac:dyDescent="0.2">
      <c r="A97" s="99"/>
      <c r="B97" s="99"/>
      <c r="C97" s="99"/>
      <c r="D97" s="99"/>
      <c r="E97" s="99"/>
      <c r="F97" s="99"/>
      <c r="G97" s="99"/>
      <c r="H97" s="99"/>
      <c r="I97" s="99"/>
      <c r="J97" s="99"/>
    </row>
    <row r="98" spans="1:10" x14ac:dyDescent="0.2">
      <c r="A98" s="99"/>
      <c r="B98" s="99"/>
      <c r="C98" s="99"/>
      <c r="D98" s="99"/>
      <c r="E98" s="99"/>
      <c r="F98" s="99"/>
      <c r="G98" s="99"/>
      <c r="H98" s="99"/>
      <c r="I98" s="99"/>
      <c r="J98" s="99"/>
    </row>
    <row r="99" spans="1:10" x14ac:dyDescent="0.2">
      <c r="A99" s="99"/>
      <c r="B99" s="99"/>
      <c r="C99" s="99"/>
      <c r="D99" s="99"/>
      <c r="E99" s="99"/>
      <c r="F99" s="99"/>
      <c r="G99" s="99"/>
      <c r="H99" s="99"/>
      <c r="I99" s="99"/>
      <c r="J99" s="99"/>
    </row>
  </sheetData>
  <sheetProtection algorithmName="SHA-512" hashValue="KB4Va/aqZu85EBHPNoYd72+SsgKHOR2vIEJ9/d+yVzxqLsV/dF3v0IZ30Af6WTzLfbDwxxjAiY6HuUm8TyMG2g==" saltValue="kwJPpXVQeBm4j8l6AAD5yw==" spinCount="100000" sheet="1" selectLockedCells="1"/>
  <phoneticPr fontId="17" type="noConversion"/>
  <printOptions gridLines="1"/>
  <pageMargins left="0.75" right="0.75" top="1" bottom="1" header="0.5" footer="0.5"/>
  <pageSetup paperSize="3"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3"/>
  <sheetViews>
    <sheetView zoomScale="90" zoomScaleNormal="90" workbookViewId="0">
      <selection activeCell="A100" sqref="A100"/>
    </sheetView>
  </sheetViews>
  <sheetFormatPr defaultRowHeight="12.75" x14ac:dyDescent="0.2"/>
  <cols>
    <col min="1" max="1" width="44" customWidth="1"/>
    <col min="2" max="4" width="19" customWidth="1"/>
  </cols>
  <sheetData>
    <row r="1" spans="1:7" ht="26.85" customHeight="1" x14ac:dyDescent="0.2">
      <c r="A1" s="345" t="s">
        <v>625</v>
      </c>
      <c r="B1" s="346" t="s">
        <v>508</v>
      </c>
      <c r="C1" s="347" t="s">
        <v>37</v>
      </c>
      <c r="D1" s="348" t="s">
        <v>499</v>
      </c>
    </row>
    <row r="2" spans="1:7" x14ac:dyDescent="0.2">
      <c r="A2" s="99" t="s">
        <v>246</v>
      </c>
      <c r="B2" s="349">
        <f>'Input Pg1'!C25</f>
        <v>0</v>
      </c>
      <c r="C2" s="352">
        <f>D2*B2</f>
        <v>0</v>
      </c>
      <c r="D2" s="353">
        <f>IF('Input Pg1'!C25=0,0,3665*218*(0.55+27*'Input Pg1'!C27/'OG units'!M23)/(218*'Input Pg1'!C27*134.4)+78.08+('Input Pg1'!C38/(B6+B7)))</f>
        <v>0</v>
      </c>
    </row>
    <row r="3" spans="1:7" x14ac:dyDescent="0.2">
      <c r="A3" s="99" t="s">
        <v>498</v>
      </c>
      <c r="B3" s="349">
        <f>'Input Pg1'!C26</f>
        <v>0</v>
      </c>
      <c r="C3" s="350">
        <f>D3*B3</f>
        <v>0</v>
      </c>
      <c r="D3" s="351">
        <f>IF('Input Pg1'!C26=0,0,8515*(6.11+(63.47+42.37*'Input Pg1'!C27)/('OG units'!L23/0.46))/(68.08+827*'Input Pg1'!C27)+78.08+('Input Pg1'!C38/(B6+B7)))</f>
        <v>0</v>
      </c>
    </row>
    <row r="4" spans="1:7" x14ac:dyDescent="0.2">
      <c r="A4" s="354" t="s">
        <v>102</v>
      </c>
      <c r="B4" s="355">
        <f>'Input Pg1'!C19</f>
        <v>0</v>
      </c>
      <c r="C4" s="356">
        <f>IF(B4=0,0,(B4*('Input Pg1'!C35+('Input Pg1'!C38/(B6+B7)))))</f>
        <v>0</v>
      </c>
      <c r="D4" s="357">
        <f>IF(C4=0,0,(C4/B4))</f>
        <v>0</v>
      </c>
      <c r="F4" s="8"/>
      <c r="G4" s="20"/>
    </row>
    <row r="5" spans="1:7" x14ac:dyDescent="0.2">
      <c r="A5" s="354" t="s">
        <v>101</v>
      </c>
      <c r="B5" s="355">
        <f>'Input Pg1'!C20</f>
        <v>0</v>
      </c>
      <c r="C5" s="356">
        <f>IF(B5=0,0,(B5*('Input Pg1'!C36+('Input Pg1'!C38)/(B6+B7))))</f>
        <v>0</v>
      </c>
      <c r="D5" s="357">
        <f>IF(C5=0,0,(C5/B5))</f>
        <v>0</v>
      </c>
      <c r="F5" s="8"/>
    </row>
    <row r="6" spans="1:7" x14ac:dyDescent="0.2">
      <c r="A6" s="170" t="s">
        <v>291</v>
      </c>
      <c r="B6" s="358">
        <f>B2+B3</f>
        <v>0</v>
      </c>
      <c r="C6" s="359">
        <f>C2+C3</f>
        <v>0</v>
      </c>
      <c r="D6" s="360">
        <f>IF(C6=0,0,(C6/B6))</f>
        <v>0</v>
      </c>
    </row>
    <row r="7" spans="1:7" x14ac:dyDescent="0.2">
      <c r="A7" s="361" t="s">
        <v>292</v>
      </c>
      <c r="B7" s="362">
        <f>B4+B5</f>
        <v>0</v>
      </c>
      <c r="C7" s="363">
        <f>C4+C5</f>
        <v>0</v>
      </c>
      <c r="D7" s="364">
        <f>IF(C7=0,0,(C7/B7))</f>
        <v>0</v>
      </c>
    </row>
    <row r="8" spans="1:7" x14ac:dyDescent="0.2">
      <c r="A8" s="170" t="s">
        <v>293</v>
      </c>
      <c r="B8" s="358">
        <f>B6+B7</f>
        <v>0</v>
      </c>
      <c r="C8" s="359">
        <f>C6+C7</f>
        <v>0</v>
      </c>
      <c r="D8" s="360">
        <f>IF(C8=0,0,(C8/B8))</f>
        <v>0</v>
      </c>
    </row>
    <row r="9" spans="1:7" x14ac:dyDescent="0.2">
      <c r="A9" s="99" t="s">
        <v>289</v>
      </c>
      <c r="B9" s="349">
        <f>'OG Heli Input'!D102</f>
        <v>0</v>
      </c>
      <c r="C9" s="352">
        <f>'OG Heli Input'!D103</f>
        <v>0</v>
      </c>
      <c r="D9" s="365">
        <f>IF('OG Heli Input'!D102=0,0,'OG Heli Input'!$D$104)</f>
        <v>0</v>
      </c>
    </row>
    <row r="10" spans="1:7" x14ac:dyDescent="0.2">
      <c r="A10" s="354" t="s">
        <v>290</v>
      </c>
      <c r="B10" s="366">
        <f>IF('Input Pg1'!C18=0,0,'Input Pg1'!C18)</f>
        <v>0</v>
      </c>
      <c r="C10" s="356">
        <f>IF(B10=0,0,(B10*'Input Pg1'!C37))</f>
        <v>0</v>
      </c>
      <c r="D10" s="357">
        <f>IF(C10=0,0,(C10/B10))</f>
        <v>0</v>
      </c>
    </row>
    <row r="11" spans="1:7" x14ac:dyDescent="0.2">
      <c r="A11" s="170" t="s">
        <v>103</v>
      </c>
      <c r="B11" s="358">
        <f>B8+B9+B10</f>
        <v>0</v>
      </c>
      <c r="C11" s="359">
        <f>C8+C9+C10</f>
        <v>0</v>
      </c>
      <c r="D11" s="360">
        <f t="shared" ref="D11:D24" si="0">IF(C11=0,0,(C11/B11))</f>
        <v>0</v>
      </c>
    </row>
    <row r="12" spans="1:7" x14ac:dyDescent="0.2">
      <c r="A12" s="99" t="s">
        <v>104</v>
      </c>
      <c r="B12" s="349">
        <f>'Input Pg1'!C29</f>
        <v>0</v>
      </c>
      <c r="C12" s="352">
        <f>IF('Input Pg1'!C29=0,0,B12*D12)</f>
        <v>0</v>
      </c>
      <c r="D12" s="353">
        <f>IF(B12=0,0,'Input Pg1'!C31*112/4.11)</f>
        <v>0</v>
      </c>
    </row>
    <row r="13" spans="1:7" x14ac:dyDescent="0.2">
      <c r="A13" s="354" t="s">
        <v>105</v>
      </c>
      <c r="B13" s="366">
        <f>'Input Pg1'!C30</f>
        <v>0</v>
      </c>
      <c r="C13" s="356">
        <f>IF('Input Pg1'!C30=0,0,B13*D13)</f>
        <v>0</v>
      </c>
      <c r="D13" s="357">
        <f>IF(B13=0,0,'Input Pg1'!C31*112/4.46)</f>
        <v>0</v>
      </c>
    </row>
    <row r="14" spans="1:7" x14ac:dyDescent="0.2">
      <c r="A14" s="99" t="s">
        <v>106</v>
      </c>
      <c r="B14" s="349">
        <f>B12+B13</f>
        <v>0</v>
      </c>
      <c r="C14" s="352">
        <f>C12+C13</f>
        <v>0</v>
      </c>
      <c r="D14" s="353">
        <f t="shared" si="0"/>
        <v>0</v>
      </c>
    </row>
    <row r="15" spans="1:7" x14ac:dyDescent="0.2">
      <c r="A15" s="99" t="s">
        <v>575</v>
      </c>
      <c r="B15" s="518">
        <f>IF(NOTES!C24+NOTES!D24=NOTES!H24+NOTES!I24,NOTES!C24+NOTES!D24,"See NOTES tab")</f>
        <v>0</v>
      </c>
      <c r="C15" s="352">
        <f>IF(NOTES!C26=NOTES!I26, NOTES!C26,"See NOTES tab")</f>
        <v>0</v>
      </c>
      <c r="D15" s="353">
        <f>IF(B15=0,0,IF(C15="See NOTES tab","See NOTES tab",C15/B15))</f>
        <v>0</v>
      </c>
    </row>
    <row r="16" spans="1:7" x14ac:dyDescent="0.2">
      <c r="A16" s="99" t="s">
        <v>11</v>
      </c>
      <c r="B16" s="349">
        <f>B11</f>
        <v>0</v>
      </c>
      <c r="C16" s="352">
        <f>'Input Pg1'!C43</f>
        <v>0</v>
      </c>
      <c r="D16" s="353">
        <f t="shared" si="0"/>
        <v>0</v>
      </c>
    </row>
    <row r="17" spans="1:5" x14ac:dyDescent="0.2">
      <c r="A17" s="99" t="s">
        <v>351</v>
      </c>
      <c r="B17" s="349">
        <f>B11</f>
        <v>0</v>
      </c>
      <c r="C17" s="352">
        <f>'Input Pg1'!C44</f>
        <v>0</v>
      </c>
      <c r="D17" s="353">
        <f t="shared" si="0"/>
        <v>0</v>
      </c>
    </row>
    <row r="18" spans="1:5" x14ac:dyDescent="0.2">
      <c r="A18" s="99" t="s">
        <v>44</v>
      </c>
      <c r="B18" s="349">
        <f>B11</f>
        <v>0</v>
      </c>
      <c r="C18" s="352">
        <f>'Input Pg1'!C42</f>
        <v>0</v>
      </c>
      <c r="D18" s="353">
        <f t="shared" si="0"/>
        <v>0</v>
      </c>
    </row>
    <row r="19" spans="1:5" x14ac:dyDescent="0.2">
      <c r="A19" s="99" t="s">
        <v>63</v>
      </c>
      <c r="B19" s="349">
        <f>B11</f>
        <v>0</v>
      </c>
      <c r="C19" s="352">
        <f>IF('Input Pg1'!C39=0,0,('Input Pg1'!C39))</f>
        <v>0</v>
      </c>
      <c r="D19" s="353">
        <f t="shared" si="0"/>
        <v>0</v>
      </c>
    </row>
    <row r="20" spans="1:5" x14ac:dyDescent="0.2">
      <c r="A20" s="99" t="s">
        <v>64</v>
      </c>
      <c r="B20" s="349">
        <f>B11</f>
        <v>0</v>
      </c>
      <c r="C20" s="367">
        <f>'Input Pg1'!C48</f>
        <v>0</v>
      </c>
      <c r="D20" s="353">
        <f t="shared" si="0"/>
        <v>0</v>
      </c>
    </row>
    <row r="21" spans="1:5" x14ac:dyDescent="0.2">
      <c r="A21" s="170" t="s">
        <v>247</v>
      </c>
      <c r="B21" s="349">
        <f>B11</f>
        <v>0</v>
      </c>
      <c r="C21" s="352">
        <f>C19+C20</f>
        <v>0</v>
      </c>
      <c r="D21" s="353">
        <f t="shared" si="0"/>
        <v>0</v>
      </c>
    </row>
    <row r="22" spans="1:5" x14ac:dyDescent="0.2">
      <c r="A22" s="170" t="s">
        <v>43</v>
      </c>
      <c r="B22" s="358">
        <f>B11</f>
        <v>0</v>
      </c>
      <c r="C22" s="359">
        <f>C11+C14+C16+C17+C18+C21</f>
        <v>0</v>
      </c>
      <c r="D22" s="360">
        <f t="shared" si="0"/>
        <v>0</v>
      </c>
    </row>
    <row r="23" spans="1:5" x14ac:dyDescent="0.2">
      <c r="A23" s="99" t="s">
        <v>209</v>
      </c>
      <c r="B23" s="349">
        <f>B11</f>
        <v>0</v>
      </c>
      <c r="C23" s="352">
        <f>'Input Pg1'!C40</f>
        <v>0</v>
      </c>
      <c r="D23" s="353">
        <f t="shared" si="0"/>
        <v>0</v>
      </c>
    </row>
    <row r="24" spans="1:5" x14ac:dyDescent="0.2">
      <c r="A24" s="99" t="s">
        <v>12</v>
      </c>
      <c r="B24" s="349">
        <f>B11</f>
        <v>0</v>
      </c>
      <c r="C24" s="352">
        <f>'Input Pg1'!C41</f>
        <v>0</v>
      </c>
      <c r="D24" s="353">
        <f t="shared" si="0"/>
        <v>0</v>
      </c>
    </row>
    <row r="25" spans="1:5" x14ac:dyDescent="0.2">
      <c r="A25" s="170" t="s">
        <v>248</v>
      </c>
      <c r="B25" s="358">
        <f>B11</f>
        <v>0</v>
      </c>
      <c r="C25" s="368">
        <f>C22+C23+C24</f>
        <v>0</v>
      </c>
      <c r="D25" s="360">
        <f>D22+D23+D24</f>
        <v>0</v>
      </c>
    </row>
    <row r="26" spans="1:5" x14ac:dyDescent="0.2">
      <c r="A26" s="99"/>
      <c r="B26" s="369"/>
      <c r="C26" s="99"/>
      <c r="D26" s="99"/>
    </row>
    <row r="27" spans="1:5" x14ac:dyDescent="0.2">
      <c r="D27" s="19"/>
    </row>
    <row r="31" spans="1:5" x14ac:dyDescent="0.2">
      <c r="B31" s="11"/>
      <c r="D31" s="11"/>
      <c r="E31" s="11"/>
    </row>
    <row r="32" spans="1:5" x14ac:dyDescent="0.2">
      <c r="D32" s="11"/>
      <c r="E32" s="11"/>
    </row>
    <row r="33" spans="2:5" x14ac:dyDescent="0.2">
      <c r="B33" s="11"/>
      <c r="C33" s="3"/>
      <c r="D33" s="12"/>
      <c r="E33" s="11"/>
    </row>
  </sheetData>
  <sheetProtection algorithmName="SHA-512" hashValue="LiYRmEqao3bvD1v5Sn9/2cDyO1SLbpuKDsWLwdProIs8ByDLLbyp2Q6EqkZPmlDoRNziQTxF8E6lU/YEE7DYhQ==" saltValue="Rj7gj7n2owU9+PZ7plN+wg==" spinCount="100000" sheet="1"/>
  <phoneticPr fontId="0" type="noConversion"/>
  <printOptions gridLines="1"/>
  <pageMargins left="0.75" right="0.75" top="1" bottom="1" header="0.5" footer="0.5"/>
  <pageSetup paperSize="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 </vt:lpstr>
      <vt:lpstr>OG units</vt:lpstr>
      <vt:lpstr>YG units</vt:lpstr>
      <vt:lpstr>Input Pg1</vt:lpstr>
      <vt:lpstr>OG Heli Input</vt:lpstr>
      <vt:lpstr>NOTES</vt:lpstr>
      <vt:lpstr>BY24 Update</vt:lpstr>
      <vt:lpstr>Project SV mfg</vt:lpstr>
      <vt:lpstr>LoggingCosts</vt:lpstr>
      <vt:lpstr>Estimate1</vt:lpstr>
      <vt:lpstr>Estimate2</vt:lpstr>
      <vt:lpstr>NEPA SUMMARY </vt:lpstr>
      <vt:lpstr>drop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Petaisto, Inga -FS</dc:creator>
  <cp:lastModifiedBy>O'Leary, Daniel - FS, AK</cp:lastModifiedBy>
  <cp:lastPrinted>2022-11-10T17:48:26Z</cp:lastPrinted>
  <dcterms:created xsi:type="dcterms:W3CDTF">2000-10-28T00:00:03Z</dcterms:created>
  <dcterms:modified xsi:type="dcterms:W3CDTF">2026-01-15T00:44:38Z</dcterms:modified>
</cp:coreProperties>
</file>