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dpoleary\Downloads\"/>
    </mc:Choice>
  </mc:AlternateContent>
  <xr:revisionPtr revIDLastSave="0" documentId="13_ncr:1_{2CDE8A9A-7944-42B9-9255-5985E5A107D4}" xr6:coauthVersionLast="47" xr6:coauthVersionMax="47" xr10:uidLastSave="{00000000-0000-0000-0000-000000000000}"/>
  <workbookProtection workbookAlgorithmName="SHA-512" workbookHashValue="oiIsN6mgWXVA4uloKymtnK/uvPN1CuXD+Nrgqua9zvTSBpmXrR4P6sjDMhK3oNFqR+IAllVrtMHU6083Bl4cVQ==" workbookSaltValue="6RlM0iBlAjz70p1KeG2MIA==" workbookSpinCount="100000" lockStructure="1"/>
  <bookViews>
    <workbookView xWindow="28680" yWindow="-120" windowWidth="29040" windowHeight="15720" tabRatio="843" xr2:uid="{00000000-000D-0000-FFFF-FFFF00000000}"/>
  </bookViews>
  <sheets>
    <sheet name="Haul RTT" sheetId="3" r:id="rId1"/>
    <sheet name="Tow" sheetId="2" r:id="rId2"/>
    <sheet name="ConvEquipMobe" sheetId="16" r:id="rId3"/>
    <sheet name="OG stump-to-truck" sheetId="6" r:id="rId4"/>
    <sheet name="Camp" sheetId="19" r:id="rId5"/>
    <sheet name="Stevedore" sheetId="21" r:id="rId6"/>
    <sheet name="Instructions YG" sheetId="7" r:id="rId7"/>
    <sheet name="YG stump-to-truck" sheetId="8" r:id="rId8"/>
    <sheet name="Appraiser Notes" sheetId="9" r:id="rId9"/>
    <sheet name="1) YG Cost Inputs" sheetId="11" state="hidden" r:id="rId10"/>
    <sheet name="MobileEquip Hrly" sheetId="12" state="hidden" r:id="rId11"/>
    <sheet name="Hrly Costs--Ydrs" sheetId="13" state="hidden" r:id="rId12"/>
    <sheet name="Daily Side Costs" sheetId="14" state="hidden" r:id="rId13"/>
    <sheet name="YGConventions" sheetId="15" state="hidden" r:id="rId14"/>
    <sheet name="Mobe ConvEquip&amp;Camp" sheetId="22" state="hidden" r:id="rId15"/>
    <sheet name="CampMobe&amp;DailyCosts" sheetId="20" state="hidden" r:id="rId16"/>
    <sheet name="droplist" sheetId="10"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127_MT_Crane_EQ_PW">#REF!</definedName>
    <definedName name="_127_MT_Crane_EQ_TS">#REF!</definedName>
    <definedName name="_127_MT_Crane_EQSB_PW">#REF!</definedName>
    <definedName name="_127_MT_Crane_EQSB_TS">#REF!</definedName>
    <definedName name="_127_MT_Crane_OP_40PW">#REF!</definedName>
    <definedName name="_127_MT_Crane_OP_40PWC">#REF!</definedName>
    <definedName name="_127_MT_Crane_OP_54PW">#REF!</definedName>
    <definedName name="_127_MT_Crane_OP_54PWC">#REF!</definedName>
    <definedName name="_127_MT_Crane_OP_TS">#REF!</definedName>
    <definedName name="_127_MT_Crane_OP_TSA">#REF!</definedName>
    <definedName name="_127_MT_Crane_OP_TSC">#REF!</definedName>
    <definedName name="_151_01">'[1]COST DEV.'!$J$81</definedName>
    <definedName name="_151_TandE">'[1]COST DEV.'!$J$113</definedName>
    <definedName name="_152_02">'[1]COST DEV.'!$J$129</definedName>
    <definedName name="_152_02bpr">'[1]COST DEV.'!$J$125</definedName>
    <definedName name="_152_03">'[1]COST DEV.'!$J$145</definedName>
    <definedName name="_152_04">'[1]COST DEV.'!$J$161</definedName>
    <definedName name="_152_11">'[1]COST DEV.'!$J$179</definedName>
    <definedName name="_157_02">'[1]COST DEV.'!$J$211</definedName>
    <definedName name="_157_07">'[1]COST DEV.'!$J$222</definedName>
    <definedName name="_157_09">'[1]COST DEV.'!$J$228</definedName>
    <definedName name="_157_10">'[1]COST DEV.'!$J$233</definedName>
    <definedName name="_201_01">'[1]COST DEV.'!$J$250</definedName>
    <definedName name="_201_01bpr">'[1]COST DEV.'!$J$246</definedName>
    <definedName name="_203_01nls">'[1]COST DEV.'!$J$300</definedName>
    <definedName name="_203_01tt">'[1]COST DEV.'!$J$322</definedName>
    <definedName name="_203_02">'[1]COST DEV.'!$J$273</definedName>
    <definedName name="_203_02nls">'[1]COST DEV.'!$J$300</definedName>
    <definedName name="_203_02tt">'[1]COST DEV.'!$J$322</definedName>
    <definedName name="_203_08dls">'[1]COST DEV.'!$J$440</definedName>
    <definedName name="_203_08ls">'[1]COST DEV.'!$J$454</definedName>
    <definedName name="_203_10">'[1]COST DEV.'!#REF!</definedName>
    <definedName name="_204_01C">'[1]COST DEV.'!$J$340</definedName>
    <definedName name="_204_01Cbpr">'[1]COST DEV.'!$J$336</definedName>
    <definedName name="_204_01fbe">'[1]COST DEV.'!$J$396</definedName>
    <definedName name="_204_01fbebpr">'[1]COST DEV.'!$J$392</definedName>
    <definedName name="_204_01R">'[1]COST DEV.'!$J$372</definedName>
    <definedName name="_204_01rbpr">'[1]COST DEV.'!$J$368</definedName>
    <definedName name="_204_11">'[1]COST DEV.'!$J$461</definedName>
    <definedName name="_204_11b">'[1]COST DEV.'!$J$480</definedName>
    <definedName name="_204_11bpr">'[1]COST DEV.'!$J$457</definedName>
    <definedName name="_20401">'[1]COST DEV.'!$J$408</definedName>
    <definedName name="_211_01">'[1]COST DEV.'!$J$572</definedName>
    <definedName name="_211_06">'[1]COST DEV.'!$J$586</definedName>
    <definedName name="_212_01">'[1]COST DEV.'!$J$615</definedName>
    <definedName name="_251_01">'[1]COST DEV.'!$J$744</definedName>
    <definedName name="_301_03">'[1]COST DEV.'!$J$911</definedName>
    <definedName name="_301_04">'[1]COST DEV.'!$J$916</definedName>
    <definedName name="_301_09">'[1]COST DEV.'!$J$813</definedName>
    <definedName name="_303_15">'[1]COST DEV.'!$J$832</definedName>
    <definedName name="_306_01">'[1]COST DEV.'!$J$832</definedName>
    <definedName name="_314_01">'[1]COST DEV.'!$J$872</definedName>
    <definedName name="_314_02">'[1]COST DEV.'!$J$876</definedName>
    <definedName name="_314_03">'[1]COST DEV.'!$J$938</definedName>
    <definedName name="_314_03bpr">'[1]COST DEV.'!$J$934</definedName>
    <definedName name="_45_MT_Crane_EQ_PW">#REF!</definedName>
    <definedName name="_45_MT_Crane_EQ_TS">#REF!</definedName>
    <definedName name="_45_MT_Crane_EQSB_PW">#REF!</definedName>
    <definedName name="_45_MT_Crane_ESBQ_TS">#REF!</definedName>
    <definedName name="_45_MT_Crane_OP_40PW">#REF!</definedName>
    <definedName name="_45_MT_Crane_OP_40PWC">#REF!</definedName>
    <definedName name="_45_MT_Crane_OP_54PW">#REF!</definedName>
    <definedName name="_45_MT_Crane_OP_54PWC">#REF!</definedName>
    <definedName name="_45_MT_Crane_OP_TS">#REF!</definedName>
    <definedName name="_45_MT_Crane_OP_TSA">#REF!</definedName>
    <definedName name="_45_MT_Crane_OP_TSC">#REF!</definedName>
    <definedName name="_5.5_CY_Loader_EQ_PW">#REF!</definedName>
    <definedName name="_5.5_CY_Loader_EQ_TS" localSheetId="4">'[2]EQUIPMENT &amp; WAGE RATES'!$C$17</definedName>
    <definedName name="_5.5_CY_Loader_EQ_TS" localSheetId="14">'[2]EQUIPMENT &amp; WAGE RATES'!$C$17</definedName>
    <definedName name="_5.5_CY_Loader_EQ_TS">'[3]EQUIPMENT &amp; WAGE RATES'!$C$17</definedName>
    <definedName name="_5.5_CY_Loader_EQSB_PW">#REF!</definedName>
    <definedName name="_5.5_CY_Loader_EQSB_TS">#REF!</definedName>
    <definedName name="_5.5_CY_Loader_OP_40PW">#REF!</definedName>
    <definedName name="_5.5_CY_Loader_OP_40PWC">#REF!</definedName>
    <definedName name="_5.5_CY_Loader_OP_54PW">#REF!</definedName>
    <definedName name="_5.5_CY_Loader_OP_54PWC">#REF!</definedName>
    <definedName name="_5.5_CY_Loader_OP_TS" localSheetId="4">'[4]EQUIPMENT &amp; WAGE RATES'!$E$17</definedName>
    <definedName name="_5.5_CY_Loader_OP_TS" localSheetId="14">'[4]EQUIPMENT &amp; WAGE RATES'!$E$17</definedName>
    <definedName name="_5.5_CY_Loader_OP_TS">'[5]EQUIPMENT &amp; WAGE RATES'!$E$17</definedName>
    <definedName name="_5.5_CY_Loader_OP_TSA" localSheetId="4">'[2]EQUIPMENT &amp; WAGE RATES'!$G$17</definedName>
    <definedName name="_5.5_CY_Loader_OP_TSA" localSheetId="14">'[2]EQUIPMENT &amp; WAGE RATES'!$G$17</definedName>
    <definedName name="_5.5_CY_Loader_OP_TSA">'[3]EQUIPMENT &amp; WAGE RATES'!$G$17</definedName>
    <definedName name="_5.5_CY_Loader_OP_TSC">#REF!</definedName>
    <definedName name="_571_03">'[1]COST DEV.'!$J$1051</definedName>
    <definedName name="_571_05">'[1]COST DEV.'!$J$1129</definedName>
    <definedName name="_572_02A">'[1]COST DEV.'!$J$1163</definedName>
    <definedName name="_572_02NA">'[1]COST DEV.'!$J$1200</definedName>
    <definedName name="_602_01_18">'[1]COST DEV.'!$J$1297</definedName>
    <definedName name="_602_01_24">'[1]COST DEV.'!$J$1341</definedName>
    <definedName name="_602_01_36">'[1]COST DEV.'!$J$1388</definedName>
    <definedName name="_602_01_48">'[1]COST DEV.'!$J$1431</definedName>
    <definedName name="_602_01_60">'[1]COST DEV.'!$J$1475</definedName>
    <definedName name="_602_01_72">'[1]COST DEV.'!$J$1518</definedName>
    <definedName name="_602_01_84">'[1]COST DEV.'!$J$1585</definedName>
    <definedName name="_619_02">'[1]COST DEV.'!$J$1614</definedName>
    <definedName name="_625_01">'[1]COST DEV.'!$J$1645</definedName>
    <definedName name="_625_01bpr">'[1]COST DEV.'!$J$1641</definedName>
    <definedName name="_625_02">'[1]COST DEV.'!$J$1679</definedName>
    <definedName name="_7_CY_Loader_EQ_PW">#REF!</definedName>
    <definedName name="_7_CY_Loader_EQ_TS">#REF!</definedName>
    <definedName name="_7_CY_Loader_EQSB_PW">#REF!</definedName>
    <definedName name="_7_CY_Loader_EQSB_TS">#REF!</definedName>
    <definedName name="_7_CY_Loader_OP_40PW">#REF!</definedName>
    <definedName name="_7_CY_Loader_OP_40PWC">#REF!</definedName>
    <definedName name="_7_CY_Loader_OP_54PW">#REF!</definedName>
    <definedName name="_7_CY_Loader_OP_54PWC">#REF!</definedName>
    <definedName name="_7_CY_Loader_OP_TS">#REF!</definedName>
    <definedName name="_7_CY_Loader_OP_TSA">#REF!</definedName>
    <definedName name="_7_CY_Loader_OP_TSC">#REF!</definedName>
    <definedName name="_End_Haul_bpr">'[1]COST DEV.'!$J$543</definedName>
    <definedName name="_Haul_bpr">'[1]COST DEV.'!$J$526</definedName>
    <definedName name="Air_Track_Drill_EQ_PW">#REF!</definedName>
    <definedName name="Air_Track_Drill_EQ_TS" localSheetId="4">'[2]EQUIPMENT &amp; WAGE RATES'!$C$20</definedName>
    <definedName name="Air_Track_Drill_EQ_TS" localSheetId="14">'[2]EQUIPMENT &amp; WAGE RATES'!$C$20</definedName>
    <definedName name="Air_Track_Drill_EQ_TS">'[3]EQUIPMENT &amp; WAGE RATES'!$C$20</definedName>
    <definedName name="Air_Track_Drill_EQSB_PW">#REF!</definedName>
    <definedName name="Air_Track_Drill_EQSB_TS">#REF!</definedName>
    <definedName name="Air_Track_Drill_OP_40PW">#REF!</definedName>
    <definedName name="Air_Track_Drill_OP_40PWC">#REF!</definedName>
    <definedName name="Air_Track_Drill_OP_54PW">#REF!</definedName>
    <definedName name="Air_Track_Drill_OP_54PWC">#REF!</definedName>
    <definedName name="Air_Track_Drill_OP_TS" localSheetId="4">'[4]EQUIPMENT &amp; WAGE RATES'!$E$20</definedName>
    <definedName name="Air_Track_Drill_OP_TS" localSheetId="14">'[4]EQUIPMENT &amp; WAGE RATES'!$E$20</definedName>
    <definedName name="Air_Track_Drill_OP_TS">'[5]EQUIPMENT &amp; WAGE RATES'!$E$20</definedName>
    <definedName name="Air_Track_Drill_OP_TSA" localSheetId="4">'[2]EQUIPMENT &amp; WAGE RATES'!$G$20</definedName>
    <definedName name="Air_Track_Drill_OP_TSA" localSheetId="14">'[2]EQUIPMENT &amp; WAGE RATES'!$G$20</definedName>
    <definedName name="Air_Track_Drill_OP_TSA">'[3]EQUIPMENT &amp; WAGE RATES'!$G$20</definedName>
    <definedName name="Air_Track_Drill_OP_TSC">#REF!</definedName>
    <definedName name="Angle_Dozer_EQ_PW">#REF!</definedName>
    <definedName name="Angle_Dozer_EQ_TS" localSheetId="4">'[2]EQUIPMENT &amp; WAGE RATES'!$C$15</definedName>
    <definedName name="Angle_Dozer_EQ_TS" localSheetId="14">'[2]EQUIPMENT &amp; WAGE RATES'!$C$15</definedName>
    <definedName name="Angle_Dozer_EQ_TS">'[3]EQUIPMENT &amp; WAGE RATES'!$C$15</definedName>
    <definedName name="Angle_Dozer_EQSB_PW">#REF!</definedName>
    <definedName name="Angle_Dozer_EQSB_TS">#REF!</definedName>
    <definedName name="Angle_Dozer_OP_40PW">#REF!</definedName>
    <definedName name="Angle_Dozer_OP_40PWC">#REF!</definedName>
    <definedName name="Angle_Dozer_OP_54PW">#REF!</definedName>
    <definedName name="Angle_Dozer_OP_54PWC">#REF!</definedName>
    <definedName name="Angle_Dozer_OP_TS" localSheetId="4">'[4]EQUIPMENT &amp; WAGE RATES'!$E$15</definedName>
    <definedName name="Angle_Dozer_OP_TS" localSheetId="14">'[4]EQUIPMENT &amp; WAGE RATES'!$E$15</definedName>
    <definedName name="Angle_Dozer_OP_TS">'[5]EQUIPMENT &amp; WAGE RATES'!$E$15</definedName>
    <definedName name="Angle_Dozer_OP_TSA" localSheetId="4">'[2]EQUIPMENT &amp; WAGE RATES'!$G$15</definedName>
    <definedName name="Angle_Dozer_OP_TSA" localSheetId="14">'[2]EQUIPMENT &amp; WAGE RATES'!$G$15</definedName>
    <definedName name="Angle_Dozer_OP_TSA">'[3]EQUIPMENT &amp; WAGE RATES'!$G$15</definedName>
    <definedName name="Angle_Dozer_OP_TSC">#REF!</definedName>
    <definedName name="Backhoe_EQ_TS" localSheetId="4">'[2]EQUIPMENT &amp; WAGE RATES'!$C$12</definedName>
    <definedName name="Backhoe_EQ_TS" localSheetId="14">'[2]EQUIPMENT &amp; WAGE RATES'!$C$12</definedName>
    <definedName name="Backhoe_EQ_TS">'[3]EQUIPMENT &amp; WAGE RATES'!$C$12</definedName>
    <definedName name="Backhoe_OP_TS" localSheetId="4">'[4]EQUIPMENT &amp; WAGE RATES'!$E$12</definedName>
    <definedName name="Backhoe_OP_TS" localSheetId="14">'[4]EQUIPMENT &amp; WAGE RATES'!$E$12</definedName>
    <definedName name="Backhoe_OP_TS">'[5]EQUIPMENT &amp; WAGE RATES'!$E$12</definedName>
    <definedName name="Backhoe_OP_TSA" localSheetId="4">'[2]EQUIPMENT &amp; WAGE RATES'!$G$12</definedName>
    <definedName name="Backhoe_OP_TSA" localSheetId="14">'[2]EQUIPMENT &amp; WAGE RATES'!$G$12</definedName>
    <definedName name="Backhoe_OP_TSA">'[3]EQUIPMENT &amp; WAGE RATES'!$G$12</definedName>
    <definedName name="BRIDGE">'[1]progess report'!$T$128</definedName>
    <definedName name="Case_580_EQ_PW">#REF!</definedName>
    <definedName name="Case_580_EQ_TS">#REF!</definedName>
    <definedName name="Case_580_EQSB_PW">#REF!</definedName>
    <definedName name="Case_580_EQSB_TS">#REF!</definedName>
    <definedName name="Case_580_OP_40PW">#REF!</definedName>
    <definedName name="Case_580_OP_40PWC">#REF!</definedName>
    <definedName name="Case_580_OP_54PW">#REF!</definedName>
    <definedName name="Case_580_OP_54PWC">#REF!</definedName>
    <definedName name="Case_580_OP_TS">#REF!</definedName>
    <definedName name="Case_580_OP_TSA">#REF!</definedName>
    <definedName name="Case_580_OP_TSC">#REF!</definedName>
    <definedName name="Chain_Saw_EQ_PW">#REF!</definedName>
    <definedName name="Chain_Saw_EQ_TS">#REF!</definedName>
    <definedName name="Chain_Saw_EQSB_PW">#REF!</definedName>
    <definedName name="Chain_Saw_EQSB_TS">#REF!</definedName>
    <definedName name="Chain_Saw_OP_40PW">#REF!</definedName>
    <definedName name="Chain_Saw_OP_40PWC">#REF!</definedName>
    <definedName name="Chain_Saw_OP_54PW">#REF!</definedName>
    <definedName name="Chain_Saw_OP_54PWC">#REF!</definedName>
    <definedName name="Chain_Saw_OP_TS">#REF!</definedName>
    <definedName name="Chain_Saw_OP_TSA">#REF!</definedName>
    <definedName name="Chain_Saw_OP_TSC">#REF!</definedName>
    <definedName name="Chuck_Tender_OP_40PW">#REF!</definedName>
    <definedName name="Chuck_Tender_OP_40PWC">#REF!</definedName>
    <definedName name="Chuck_Tender_OP_54PW">#REF!</definedName>
    <definedName name="Chuck_Tender_OP_54PWC">#REF!</definedName>
    <definedName name="Chuck_Tender_OP_TS">#REF!</definedName>
    <definedName name="Chuck_Tender_OP_TSA">#REF!</definedName>
    <definedName name="Chuck_Tender_OP_TSC">#REF!</definedName>
    <definedName name="Compressor_EQ_PW">#REF!</definedName>
    <definedName name="Compressor_EQ_TS">#REF!</definedName>
    <definedName name="Compressor_EQSB_PW">#REF!</definedName>
    <definedName name="Compressor_EQSB_TS">#REF!</definedName>
    <definedName name="Compressor_OP_40PW">#REF!</definedName>
    <definedName name="Compressor_OP_40PWC">#REF!</definedName>
    <definedName name="Compressor_OP_54PW">#REF!</definedName>
    <definedName name="Compressor_OP_54PWC">#REF!</definedName>
    <definedName name="Compressor_OP_TS">#REF!</definedName>
    <definedName name="Compressor_OP_TSA">#REF!</definedName>
    <definedName name="Compressor_OP_TSC">#REF!</definedName>
    <definedName name="crc">'[1]progess report'!$L$5</definedName>
    <definedName name="Crew_Cab_EQ_PW">#REF!</definedName>
    <definedName name="Crew_Cab_EQ_TS">#REF!</definedName>
    <definedName name="Crew_Cab_EQSB_PW">#REF!</definedName>
    <definedName name="Crew_Cab_EQSB_TS">#REF!</definedName>
    <definedName name="Crew_Cab_OP_40PW">#REF!</definedName>
    <definedName name="Crew_Cab_OP_40PWC">#REF!</definedName>
    <definedName name="Crew_Cab_OP_54PW">#REF!</definedName>
    <definedName name="Crew_Cab_OP_54PWC">#REF!</definedName>
    <definedName name="Crew_Cab_OP_TS">#REF!</definedName>
    <definedName name="Crew_Cab_OP_TSA">#REF!</definedName>
    <definedName name="Crew_Cab_OP_TSC">#REF!</definedName>
    <definedName name="CTP" localSheetId="4">'[6]Conv Mobe Costs'!#REF!</definedName>
    <definedName name="CTP" localSheetId="14">'Mobe ConvEquip&amp;Camp'!#REF!</definedName>
    <definedName name="CTP" localSheetId="5">'[7]Conv Mobe Costs'!#REF!</definedName>
    <definedName name="CTP">#REF!</definedName>
    <definedName name="CULVERT">'[1]progess report'!$U$128</definedName>
    <definedName name="Draft2018Calc" localSheetId="0">'Haul RTT'!$A$1:$G$69</definedName>
    <definedName name="eeq_151_01">'[1]ENGR. ESTI.'!$C$12</definedName>
    <definedName name="eeq_152_02">'[1]ENGR. ESTI.'!$C$14</definedName>
    <definedName name="eeq_152_03">'[1]ENGR. ESTI.'!$C$16</definedName>
    <definedName name="eeq_152_04">'[1]ENGR. ESTI.'!$C$18</definedName>
    <definedName name="eeq_152_11">'[1]ENGR. ESTI.'!$C$20</definedName>
    <definedName name="eeq_157_01">'[1]ENGR. ESTI.'!$C$22</definedName>
    <definedName name="eeq_157_02">'[1]ENGR. ESTI.'!$C$24</definedName>
    <definedName name="eeq_157_07">'[1]ENGR. ESTI.'!$C$26</definedName>
    <definedName name="eeq_157_09">'[1]ENGR. ESTI.'!$C$28</definedName>
    <definedName name="eeq_157_10">'[1]ENGR. ESTI.'!$C$30</definedName>
    <definedName name="eeq_201_01">'[1]ENGR. ESTI.'!$C$32</definedName>
    <definedName name="eeq_203_02">'[1]ENGR. ESTI.'!$C$34</definedName>
    <definedName name="eeq_203_02nls">'[1]ENGR. ESTI.'!$C$36</definedName>
    <definedName name="eeq_203_02tt">'[1]ENGR. ESTI.'!$C$38</definedName>
    <definedName name="eeq_204_01">'[1]ENGR. ESTI.'!$C$46</definedName>
    <definedName name="eeq_204_01c">'[1]ENGR. ESTI.'!$C$40</definedName>
    <definedName name="eeq_204_01fbe">'[1]ENGR. ESTI.'!$C$44</definedName>
    <definedName name="eeq_204_01r">'[1]ENGR. ESTI.'!$C$42</definedName>
    <definedName name="eeq_204_11">'[1]ENGR. ESTI.'!$C$48</definedName>
    <definedName name="eeq_204_11b">'[1]ENGR. ESTI.'!$C$50</definedName>
    <definedName name="eeq_211_01">'[1]ENGR. ESTI.'!$C$52</definedName>
    <definedName name="eeq_211_06">'[1]ENGR. ESTI.'!$C$54</definedName>
    <definedName name="eeq_212_01">'[1]ENGR. ESTI.'!$C$56</definedName>
    <definedName name="eeq_251_01">'[1]ENGR. ESTI.'!$C$58</definedName>
    <definedName name="eeq_301_03">'[1]ENGR. ESTI.'!$C$62</definedName>
    <definedName name="eeq_301_04">'[1]ENGR. ESTI.'!$C$64</definedName>
    <definedName name="eeq_301_09">'[1]ENGR. ESTI.'!$C$60</definedName>
    <definedName name="eeq_303_15">'[1]ENGR. ESTI.'!$C$66</definedName>
    <definedName name="eeq_314_01">'[1]ENGR. ESTI.'!$C$68</definedName>
    <definedName name="eeq_314_02">'[1]ENGR. ESTI.'!$C$70</definedName>
    <definedName name="eeq_314_03">'[1]ENGR. ESTI.'!$C$72</definedName>
    <definedName name="eeq_571_03">'[1]ENGR. ESTI.'!$C$74</definedName>
    <definedName name="eeq_571_05">'[1]ENGR. ESTI.'!$C$77</definedName>
    <definedName name="eeq_572_02A">'[1]ENGR. ESTI.'!$C$80</definedName>
    <definedName name="eeq_572_02NA">'[1]ENGR. ESTI.'!$C$82</definedName>
    <definedName name="eeq_602_01_18">'[1]ENGR. ESTI.'!$C$84</definedName>
    <definedName name="eeq_602_01_24">'[1]ENGR. ESTI.'!$C$89</definedName>
    <definedName name="eeq_602_01_36">'[1]ENGR. ESTI.'!$C$94</definedName>
    <definedName name="eeq_602_01_48">'[1]ENGR. ESTI.'!$C$99</definedName>
    <definedName name="eeq_602_01_60">'[1]ENGR. ESTI.'!$C$104</definedName>
    <definedName name="eeq_602_01_72">'[1]ENGR. ESTI.'!$C$109</definedName>
    <definedName name="eeq_602_01_84">'[1]ENGR. ESTI.'!$C$114</definedName>
    <definedName name="eeq_619_02">'[1]ENGR. ESTI.'!$C$119</definedName>
    <definedName name="eeq_625_01">'[1]ENGR. ESTI.'!$C$121</definedName>
    <definedName name="eeq_625_02">'[1]ENGR. ESTI.'!$C$123</definedName>
    <definedName name="eeq_625_04">'[1]ENGR. ESTI.'!#REF!</definedName>
    <definedName name="eeq_625_05">'[1]ENGR. ESTI.'!#REF!</definedName>
    <definedName name="End_Dump_Truck_EQ_PW">#REF!</definedName>
    <definedName name="End_Dump_Truck_EQ_TS" localSheetId="4">'[2]EQUIPMENT &amp; WAGE RATES'!$C$19</definedName>
    <definedName name="End_Dump_Truck_EQ_TS" localSheetId="14">'[2]EQUIPMENT &amp; WAGE RATES'!$C$19</definedName>
    <definedName name="End_Dump_Truck_EQ_TS">'[3]EQUIPMENT &amp; WAGE RATES'!$C$19</definedName>
    <definedName name="End_Dump_Truck_EQSB_PW">#REF!</definedName>
    <definedName name="End_Dump_Truck_EQSB_TS">#REF!</definedName>
    <definedName name="End_Dump_Truck_OP_40PW">#REF!</definedName>
    <definedName name="End_Dump_Truck_OP_40PWC">#REF!</definedName>
    <definedName name="End_Dump_Truck_OP_54PW">#REF!</definedName>
    <definedName name="End_Dump_Truck_OP_54PWC">#REF!</definedName>
    <definedName name="End_Dump_Truck_OP_TS" localSheetId="4">'[4]EQUIPMENT &amp; WAGE RATES'!$E$19</definedName>
    <definedName name="End_Dump_Truck_OP_TS" localSheetId="14">'[4]EQUIPMENT &amp; WAGE RATES'!$E$19</definedName>
    <definedName name="End_Dump_Truck_OP_TS">'[5]EQUIPMENT &amp; WAGE RATES'!$E$19</definedName>
    <definedName name="End_Dump_Truck_OP_TSA" localSheetId="4">'[2]EQUIPMENT &amp; WAGE RATES'!$G$19</definedName>
    <definedName name="End_Dump_Truck_OP_TSA" localSheetId="14">'[2]EQUIPMENT &amp; WAGE RATES'!$G$19</definedName>
    <definedName name="End_Dump_Truck_OP_TSA">'[3]EQUIPMENT &amp; WAGE RATES'!$G$19</definedName>
    <definedName name="End_Dump_Truck_OP_TSC">#REF!</definedName>
    <definedName name="Excavator_EQ_PW">#REF!</definedName>
    <definedName name="Excavator_EQ_TS">#REF!</definedName>
    <definedName name="Excavator_EQSB_PW">#REF!</definedName>
    <definedName name="Excavator_EQSB_TS">#REF!</definedName>
    <definedName name="Excavator_OP_40PW">#REF!</definedName>
    <definedName name="Excavator_OP_40PWC">#REF!</definedName>
    <definedName name="Excavator_OP_54PW">#REF!</definedName>
    <definedName name="Excavator_OP_54PWC">#REF!</definedName>
    <definedName name="Excavator_OP_TS">#REF!</definedName>
    <definedName name="Excavator_OP_TSA">#REF!</definedName>
    <definedName name="Excavator_OP_TSC">#REF!</definedName>
    <definedName name="Flat_Bed_EQ_PW">#REF!</definedName>
    <definedName name="Flat_Bed_EQ_TS">#REF!</definedName>
    <definedName name="Flat_Bed_EQSB_PW">#REF!</definedName>
    <definedName name="Flat_Bed_EQSB_TS">#REF!</definedName>
    <definedName name="Flat_Bed_OP_40PW">#REF!</definedName>
    <definedName name="Flat_Bed_OP_40PWC">#REF!</definedName>
    <definedName name="Flat_Bed_OP_54PW">#REF!</definedName>
    <definedName name="Flat_Bed_OP_54PWC">#REF!</definedName>
    <definedName name="Flat_Bed_OP_TS">#REF!</definedName>
    <definedName name="Flat_Bed_OP_TSA">#REF!</definedName>
    <definedName name="Flat_Bed_OP_TSC">#REF!</definedName>
    <definedName name="FT">'[1]COST DEV.'!$F$60</definedName>
    <definedName name="Fuel_Trk_EQ_PW">#REF!</definedName>
    <definedName name="Fuel_Trk_EQ_TS">#REF!</definedName>
    <definedName name="Fuel_Trk_EQSB_PW">#REF!</definedName>
    <definedName name="Fuel_Trk_EQSB_TS">#REF!</definedName>
    <definedName name="Fuel_Trk_OP_40PW">#REF!</definedName>
    <definedName name="Fuel_Trk_OP_40PWC">#REF!</definedName>
    <definedName name="Fuel_Trk_OP_54PW">#REF!</definedName>
    <definedName name="Fuel_Trk_OP_54PWC">#REF!</definedName>
    <definedName name="Fuel_Trk_OP_54W">#REF!</definedName>
    <definedName name="Fuel_Trk_OP_TS">#REF!</definedName>
    <definedName name="Fuel_Trk_OP_TSA">#REF!</definedName>
    <definedName name="Fuel_Trk_OP_TSC">#REF!</definedName>
    <definedName name="General_Laborer_OP_40PW">#REF!</definedName>
    <definedName name="General_Laborer_OP_40PWC">#REF!</definedName>
    <definedName name="General_Laborer_OP_54PW">#REF!</definedName>
    <definedName name="General_Laborer_OP_54PWC">#REF!</definedName>
    <definedName name="General_Laborer_OP_TS" localSheetId="4">'[4]EQUIPMENT &amp; WAGE RATES'!$E$48</definedName>
    <definedName name="General_Laborer_OP_TS" localSheetId="14">'[4]EQUIPMENT &amp; WAGE RATES'!$E$48</definedName>
    <definedName name="General_Laborer_OP_TS">'[5]EQUIPMENT &amp; WAGE RATES'!$E$48</definedName>
    <definedName name="General_Laborer_OP_TSA" localSheetId="4">'[2]EQUIPMENT &amp; WAGE RATES'!$G$48</definedName>
    <definedName name="General_Laborer_OP_TSA" localSheetId="14">'[2]EQUIPMENT &amp; WAGE RATES'!$G$48</definedName>
    <definedName name="General_Laborer_OP_TSA">'[3]EQUIPMENT &amp; WAGE RATES'!$G$48</definedName>
    <definedName name="General_Laborer_OP_TSC">#REF!</definedName>
    <definedName name="Grademan_OP_40PW">#REF!</definedName>
    <definedName name="Grademan_OP_40PWC">#REF!</definedName>
    <definedName name="Grademan_OP_54PW">#REF!</definedName>
    <definedName name="Grademan_OP_54PWC">#REF!</definedName>
    <definedName name="Grademan_OP_TS">#REF!</definedName>
    <definedName name="Grademan_OP_TSA">#REF!</definedName>
    <definedName name="Grademan_OP_TSC">#REF!</definedName>
    <definedName name="Grader_EQ_PW">#REF!</definedName>
    <definedName name="Grader_EQ_TS" localSheetId="4">'[2]EQUIPMENT &amp; WAGE RATES'!$C$16</definedName>
    <definedName name="Grader_EQ_TS" localSheetId="14">'[2]EQUIPMENT &amp; WAGE RATES'!$C$16</definedName>
    <definedName name="Grader_EQ_TS">'[3]EQUIPMENT &amp; WAGE RATES'!$C$16</definedName>
    <definedName name="Grader_EQSB_PW">#REF!</definedName>
    <definedName name="Grader_EQSB_TS">#REF!</definedName>
    <definedName name="Grader_OP_40PW">#REF!</definedName>
    <definedName name="Grader_OP_40PWC">#REF!</definedName>
    <definedName name="Grader_OP_54PW">#REF!</definedName>
    <definedName name="Grader_OP_54PWC">#REF!</definedName>
    <definedName name="Grader_OP_TS" localSheetId="4">'[4]EQUIPMENT &amp; WAGE RATES'!$E$16</definedName>
    <definedName name="Grader_OP_TS" localSheetId="14">'[4]EQUIPMENT &amp; WAGE RATES'!$E$16</definedName>
    <definedName name="Grader_OP_TS">'[5]EQUIPMENT &amp; WAGE RATES'!$E$16</definedName>
    <definedName name="Grader_OP_TSA" localSheetId="4">'[2]EQUIPMENT &amp; WAGE RATES'!$G$16</definedName>
    <definedName name="Grader_OP_TSA" localSheetId="14">'[2]EQUIPMENT &amp; WAGE RATES'!$G$16</definedName>
    <definedName name="Grader_OP_TSA">'[3]EQUIPMENT &amp; WAGE RATES'!$G$16</definedName>
    <definedName name="Grader_OP_TSC">#REF!</definedName>
    <definedName name="Grid_Roller_EQ_PW">#REF!</definedName>
    <definedName name="Grid_Roller_EQ_TS" localSheetId="4">'[2]EQUIPMENT &amp; WAGE RATES'!$C$32</definedName>
    <definedName name="Grid_Roller_EQ_TS" localSheetId="14">'[2]EQUIPMENT &amp; WAGE RATES'!$C$32</definedName>
    <definedName name="Grid_Roller_EQ_TS">'[3]EQUIPMENT &amp; WAGE RATES'!$C$32</definedName>
    <definedName name="Grid_Roller_EQSB_PW">#REF!</definedName>
    <definedName name="Grid_Roller_EQSB_TS">#REF!</definedName>
    <definedName name="Grid_Roller_OP_40PW">#REF!</definedName>
    <definedName name="Grid_Roller_OP_40PWC">#REF!</definedName>
    <definedName name="Grid_Roller_OP_54PW">#REF!</definedName>
    <definedName name="Grid_Roller_OP_54PWC">#REF!</definedName>
    <definedName name="Grid_Roller_OP_TS">#REF!</definedName>
    <definedName name="Grid_Roller_OP_TSA">#REF!</definedName>
    <definedName name="Grid_Roller_OP_TSC">#REF!</definedName>
    <definedName name="Hand_Compactor_EQ_PW">#REF!</definedName>
    <definedName name="Hand_Compactor_EQ_TS">#REF!</definedName>
    <definedName name="Hand_Compactor_EQSB_PW">#REF!</definedName>
    <definedName name="Hand_Compactor_EQSB_TS">#REF!</definedName>
    <definedName name="Hand_Compactor_OP_40PW">#REF!</definedName>
    <definedName name="Hand_Compactor_OP_40PWC">#REF!</definedName>
    <definedName name="Hand_Compactor_OP_54PW">#REF!</definedName>
    <definedName name="Hand_Compactor_OP_54PWC">#REF!</definedName>
    <definedName name="Hand_Compactor_OP_TS">#REF!</definedName>
    <definedName name="Hand_Compactor_OP_TSA">#REF!</definedName>
    <definedName name="Hand_Compactor_OP_TSC">#REF!</definedName>
    <definedName name="HM_Excavator_EQ_PW">#REF!</definedName>
    <definedName name="HM_Excavator_EQ_TS">#REF!</definedName>
    <definedName name="HM_Excavator_EQSB_PW">#REF!</definedName>
    <definedName name="HM_Excavator_EQSB_TS">#REF!</definedName>
    <definedName name="HM_Excavator_OP_40PW">#REF!</definedName>
    <definedName name="HM_Excavator_OP_40PWC">#REF!</definedName>
    <definedName name="HM_Excavator_OP_54PW">#REF!</definedName>
    <definedName name="HM_Excavator_OP_54PWC">#REF!</definedName>
    <definedName name="HM_Excavator_OP_TS">#REF!</definedName>
    <definedName name="HM_Excavator_OP_TSA">#REF!</definedName>
    <definedName name="HM_Excavator_OP_TSC">#REF!</definedName>
    <definedName name="HYD_Track_Drill_EQ_PW">#REF!</definedName>
    <definedName name="HYD_Track_Drill_EQ_TS">#REF!</definedName>
    <definedName name="HYD_Track_Drill_EQSB_PW">#REF!</definedName>
    <definedName name="HYD_Track_Drill_EQSB_TS">#REF!</definedName>
    <definedName name="HYD_Track_Drill_OP_40PW">#REF!</definedName>
    <definedName name="HYD_Track_Drill_OP_40PWC">#REF!</definedName>
    <definedName name="HYD_Track_Drill_OP_54PW">#REF!</definedName>
    <definedName name="HYD_Track_Drill_OP_54PWC">#REF!</definedName>
    <definedName name="HYD_Track_Drill_OP_TS">#REF!</definedName>
    <definedName name="HYD_Track_Drill_OP_TSA">#REF!</definedName>
    <definedName name="HYD_Track_Drill_OP_TSC">#REF!</definedName>
    <definedName name="Hydro_Seeder_EQ_PW">#REF!</definedName>
    <definedName name="Hydro_Seeder_EQ_TS">#REF!</definedName>
    <definedName name="Hydro_Seeder_EQSB_PW">#REF!</definedName>
    <definedName name="Hydro_Seeder_EQSB_TS">#REF!</definedName>
    <definedName name="Hydro_Seeder_OP_40PW">#REF!</definedName>
    <definedName name="Hydro_Seeder_OP_40PWC">#REF!</definedName>
    <definedName name="Hydro_Seeder_OP_54PW">#REF!</definedName>
    <definedName name="Hydro_Seeder_OP_54PWC">#REF!</definedName>
    <definedName name="Hydro_Seeder_OP_TS">#REF!</definedName>
    <definedName name="Hydro_Seeder_OP_TSA">#REF!</definedName>
    <definedName name="Hydro_Seeder_OP_TSC">#REF!</definedName>
    <definedName name="ins_rate">'[1]COST DEV.'!$H$1253</definedName>
    <definedName name="Log_Truck_EQ_PW">#REF!</definedName>
    <definedName name="Log_Truck_EQ_TS">#REF!</definedName>
    <definedName name="Log_Truck_EQSB_PW">#REF!</definedName>
    <definedName name="Log_Truck_EQSB_TS">#REF!</definedName>
    <definedName name="Log_Truck_OP_40PW">#REF!</definedName>
    <definedName name="Log_Truck_OP_40PWC">#REF!</definedName>
    <definedName name="Log_Truck_OP_54PW">#REF!</definedName>
    <definedName name="Log_Truck_OP_54PWC">#REF!</definedName>
    <definedName name="Log_Truck_OP_TS">#REF!</definedName>
    <definedName name="Log_Truck_OP_TSA">#REF!</definedName>
    <definedName name="Log_Truck_OP_TSC">#REF!</definedName>
    <definedName name="Low_Boy_EQ_PW">#REF!</definedName>
    <definedName name="Low_Boy_EQ_TS" localSheetId="4">'[2]EQUIPMENT &amp; WAGE RATES'!$C$27</definedName>
    <definedName name="Low_Boy_EQ_TS" localSheetId="14">'[2]EQUIPMENT &amp; WAGE RATES'!$C$27</definedName>
    <definedName name="Low_Boy_EQ_TS">'[3]EQUIPMENT &amp; WAGE RATES'!$C$27</definedName>
    <definedName name="Low_Boy_EQSB_PW">#REF!</definedName>
    <definedName name="Low_Boy_EQSB_TS">#REF!</definedName>
    <definedName name="Low_Boy_OP_40PW">#REF!</definedName>
    <definedName name="Low_Boy_OP_40PWC">#REF!</definedName>
    <definedName name="Low_Boy_OP_54PW">#REF!</definedName>
    <definedName name="Low_Boy_OP_54PWC">#REF!</definedName>
    <definedName name="Low_Boy_OP_TS" localSheetId="4">'[4]EQUIPMENT &amp; WAGE RATES'!$E$27</definedName>
    <definedName name="Low_Boy_OP_TS" localSheetId="14">'[4]EQUIPMENT &amp; WAGE RATES'!$E$27</definedName>
    <definedName name="Low_Boy_OP_TS">'[5]EQUIPMENT &amp; WAGE RATES'!$E$27</definedName>
    <definedName name="Low_Boy_OP_TSA" localSheetId="4">'[2]EQUIPMENT &amp; WAGE RATES'!$G$27</definedName>
    <definedName name="Low_Boy_OP_TSA" localSheetId="14">'[2]EQUIPMENT &amp; WAGE RATES'!$G$27</definedName>
    <definedName name="Low_Boy_OP_TSA">'[3]EQUIPMENT &amp; WAGE RATES'!$G$27</definedName>
    <definedName name="Low_Boy_OP_TSC">#REF!</definedName>
    <definedName name="Mechanic_OP_40PW">#REF!</definedName>
    <definedName name="Mechanic_OP_40PWC">#REF!</definedName>
    <definedName name="Mechanic_OP_54PW">#REF!</definedName>
    <definedName name="Mechanic_OP_54PWC">#REF!</definedName>
    <definedName name="Mechanic_OP_TS">#REF!</definedName>
    <definedName name="Mechanic_OP_TSA">#REF!</definedName>
    <definedName name="Mechanic_OP_TSC">#REF!</definedName>
    <definedName name="MI">'[1]TS SCH. ITEMS'!#REF!</definedName>
    <definedName name="N">'[1]COST DEV.'!$I$58</definedName>
    <definedName name="Pile_Driver_EQ_PW">#REF!</definedName>
    <definedName name="Pile_Driver_EQ_TS">#REF!</definedName>
    <definedName name="Pile_Driver_EQSB_PW">#REF!</definedName>
    <definedName name="Pile_Driver_EQSB_TS">#REF!</definedName>
    <definedName name="Pile_Driver_OP_40PW">#REF!</definedName>
    <definedName name="Pile_Driver_OP_40PWC">#REF!</definedName>
    <definedName name="Pile_Driver_OP_54PW">#REF!</definedName>
    <definedName name="Pile_Driver_OP_54PWC">#REF!</definedName>
    <definedName name="Pile_Driver_OP_TS">#REF!</definedName>
    <definedName name="Pile_Driver_OP_TSA">#REF!</definedName>
    <definedName name="Pile_Driver_OP_TSC">#REF!</definedName>
    <definedName name="PR_PW">'[1]COST DEV.'!$G$69</definedName>
    <definedName name="PR_TSA" localSheetId="4">'[6]Conv Mobe Costs'!#REF!</definedName>
    <definedName name="PR_TSA" localSheetId="14">'Mobe ConvEquip&amp;Camp'!#REF!</definedName>
    <definedName name="PR_TSA" localSheetId="5">'[7]Conv Mobe Costs'!#REF!</definedName>
    <definedName name="PR_TSA">#REF!</definedName>
    <definedName name="_xlnm.Print_Area" localSheetId="0">'Haul RTT'!$A$1:$G$69</definedName>
    <definedName name="PRISM">'[1]progess report'!$S$128</definedName>
    <definedName name="PRPW">'[1]COST DEV.'!#REF!</definedName>
    <definedName name="Rate_Base_Name">'[1]COST DEV.'!#REF!</definedName>
    <definedName name="Roller_Compactor_EQ_PW">#REF!</definedName>
    <definedName name="Roller_Compactor_EQ_TS">#REF!</definedName>
    <definedName name="Roller_Compactor_EQSB_PW">#REF!</definedName>
    <definedName name="Roller_Compactor_EQSB_TS">#REF!</definedName>
    <definedName name="Roller_Compactor_OP_40PW">#REF!</definedName>
    <definedName name="Roller_Compactor_OP_40PWC">#REF!</definedName>
    <definedName name="Roller_Compactor_OP_54PW">#REF!</definedName>
    <definedName name="Roller_Compactor_OP_54PWC">#REF!</definedName>
    <definedName name="Roller_Compactor_OP_TS">#REF!</definedName>
    <definedName name="Roller_Compactor_OP_TSA">#REF!</definedName>
    <definedName name="Roller_Compactor_OP_TSC">#REF!</definedName>
    <definedName name="Shop_Truck_EQ_PW">#REF!</definedName>
    <definedName name="Shop_Truck_EQ_TS">#REF!</definedName>
    <definedName name="Shop_Truck_EQSB_PW">#REF!</definedName>
    <definedName name="Shop_Truck_EQSB_TS">#REF!</definedName>
    <definedName name="Shop_Truck_OP_40PW">#REF!</definedName>
    <definedName name="Shop_Truck_OP_40PWC">#REF!</definedName>
    <definedName name="Shop_Truck_OP_54PW">#REF!</definedName>
    <definedName name="Shop_Truck_OP_54PWC">#REF!</definedName>
    <definedName name="Shop_Truck_OP_TS">#REF!</definedName>
    <definedName name="Shop_Truck_OP_TSA">#REF!</definedName>
    <definedName name="Shop_Truck_OP_TSC">#REF!</definedName>
    <definedName name="Straight_Dozer_EQ_PW">#REF!</definedName>
    <definedName name="Straight_Dozer_EQ_TS">#REF!</definedName>
    <definedName name="Straight_Dozer_EQSB_PW">#REF!</definedName>
    <definedName name="Straight_Dozer_EQSB_TS">#REF!</definedName>
    <definedName name="Straight_Dozer_OP_40PW">#REF!</definedName>
    <definedName name="Straight_Dozer_OP_40PWC">#REF!</definedName>
    <definedName name="Straight_Dozer_OP_54PW">#REF!</definedName>
    <definedName name="Straight_Dozer_OP_54PWC">#REF!</definedName>
    <definedName name="Straight_Dozer_OP_TS">#REF!</definedName>
    <definedName name="Straight_Dozer_OP_TSA">#REF!</definedName>
    <definedName name="Straight_Dozer_OP_TSC">#REF!</definedName>
    <definedName name="Supplementation">'[1]progess report'!$P$6</definedName>
    <definedName name="SURFACE">'[1]progess report'!$R$128</definedName>
    <definedName name="Survey_Crew_OP_40PW">#REF!</definedName>
    <definedName name="Survey_Crew_OP_40PWC">#REF!</definedName>
    <definedName name="Survey_Crew_OP_54PW">#REF!</definedName>
    <definedName name="Survey_Crew_OP_54PWC">#REF!</definedName>
    <definedName name="Survey_Crew_OP_TS">#REF!</definedName>
    <definedName name="Survey_Crew_OP_TSA">#REF!</definedName>
    <definedName name="Survey_Crew_OP_TSC">#REF!</definedName>
    <definedName name="Survey_Party_Chief_OP_40PW">#REF!</definedName>
    <definedName name="Survey_Party_Chief_OP_40PWC">#REF!</definedName>
    <definedName name="Survey_Party_Chief_OP_54PW">#REF!</definedName>
    <definedName name="Survey_Party_Chief_OP_54PWC">#REF!</definedName>
    <definedName name="Survey_Party_Chief_OP_TS">#REF!</definedName>
    <definedName name="Survey_Party_Chief_OP_TSA">#REF!</definedName>
    <definedName name="Survey_Party_Chief_OP_TSC">#REF!</definedName>
    <definedName name="Timber_Faller_OP_40PW">#REF!</definedName>
    <definedName name="Timber_Faller_OP_40PWC">#REF!</definedName>
    <definedName name="Timber_Faller_OP_54PW">#REF!</definedName>
    <definedName name="Timber_Faller_OP_54PWC">#REF!</definedName>
    <definedName name="Timber_Faller_OP_TS">#REF!</definedName>
    <definedName name="Timber_Faller_OP_TSA">#REF!</definedName>
    <definedName name="Timber_Faller_OP_TSC">#REF!</definedName>
    <definedName name="whar_rate">'[1]COST DEV.'!$H$1254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 l="1"/>
  <c r="B37" i="8"/>
  <c r="F16" i="2"/>
  <c r="G16" i="2"/>
  <c r="F15" i="2"/>
  <c r="F17" i="2"/>
  <c r="F14" i="2"/>
  <c r="H8" i="2"/>
  <c r="I8" i="2" s="1"/>
  <c r="H9" i="2"/>
  <c r="I9" i="2" s="1"/>
  <c r="H10" i="2"/>
  <c r="I10" i="2" s="1"/>
  <c r="H7" i="2"/>
  <c r="I7" i="2" s="1"/>
  <c r="E8" i="6" l="1"/>
  <c r="E9" i="6"/>
  <c r="K4" i="13"/>
  <c r="D4" i="13"/>
  <c r="K23" i="13" l="1"/>
  <c r="K22" i="13"/>
  <c r="K21" i="13"/>
  <c r="K20" i="13"/>
  <c r="K19" i="13"/>
  <c r="K18" i="13"/>
  <c r="K17" i="13"/>
  <c r="D22" i="13"/>
  <c r="D21" i="13"/>
  <c r="D20" i="13"/>
  <c r="D19" i="13"/>
  <c r="D18" i="13"/>
  <c r="D17" i="13"/>
  <c r="H44" i="11"/>
  <c r="H43" i="11"/>
  <c r="H42" i="11"/>
  <c r="H41" i="11"/>
  <c r="H40" i="11"/>
  <c r="H39" i="11"/>
  <c r="H38" i="11"/>
  <c r="H37" i="11"/>
  <c r="H36" i="11"/>
  <c r="I12" i="21"/>
  <c r="D9" i="3"/>
  <c r="F12" i="21"/>
  <c r="H34" i="22" l="1"/>
  <c r="U32" i="22"/>
  <c r="Q32" i="22"/>
  <c r="V31" i="22"/>
  <c r="H31" i="22"/>
  <c r="V29" i="22"/>
  <c r="U26" i="22"/>
  <c r="S26" i="22"/>
  <c r="U25" i="22"/>
  <c r="S25" i="22"/>
  <c r="Q25" i="22"/>
  <c r="Q26" i="22" s="1"/>
  <c r="V32" i="22"/>
  <c r="H33" i="22"/>
  <c r="U21" i="22"/>
  <c r="Q21" i="22"/>
  <c r="H32" i="22"/>
  <c r="U20" i="22"/>
  <c r="S20" i="22"/>
  <c r="S21" i="22" s="1"/>
  <c r="Q20" i="22"/>
  <c r="V24" i="22"/>
  <c r="H30" i="22"/>
  <c r="V18" i="22"/>
  <c r="H29" i="22"/>
  <c r="S17" i="22"/>
  <c r="Q17" i="22"/>
  <c r="H28" i="22"/>
  <c r="U16" i="22"/>
  <c r="U17" i="22" s="1"/>
  <c r="S16" i="22"/>
  <c r="S32" i="22" s="1"/>
  <c r="Q16" i="22"/>
  <c r="V17" i="22"/>
  <c r="V16" i="22"/>
  <c r="V19" i="22" l="1"/>
  <c r="V20" i="22" s="1"/>
  <c r="V22" i="22"/>
  <c r="V28" i="22"/>
  <c r="H12" i="21" l="1"/>
  <c r="D21" i="11"/>
  <c r="H6" i="11" l="1"/>
  <c r="K5" i="12" s="1"/>
  <c r="H7" i="11"/>
  <c r="E5" i="12" s="1"/>
  <c r="H8" i="11"/>
  <c r="H9" i="11"/>
  <c r="G5" i="12" s="1"/>
  <c r="H10" i="11"/>
  <c r="H11" i="11"/>
  <c r="H5" i="12" s="1"/>
  <c r="H12" i="11"/>
  <c r="H13" i="11"/>
  <c r="H14" i="11"/>
  <c r="J5" i="12" s="1"/>
  <c r="H15" i="11"/>
  <c r="H16" i="11"/>
  <c r="H5" i="11"/>
  <c r="D5" i="12" s="1"/>
  <c r="F5" i="12" l="1"/>
  <c r="I5" i="12"/>
  <c r="J9" i="2"/>
  <c r="G15" i="2"/>
  <c r="E18" i="2" l="1"/>
  <c r="J8" i="2" l="1"/>
  <c r="B7" i="22" l="1"/>
  <c r="B8" i="22"/>
  <c r="C7" i="22"/>
  <c r="C8" i="22"/>
  <c r="D8" i="22"/>
  <c r="E8" i="22"/>
  <c r="S15" i="22" s="1"/>
  <c r="D7" i="22"/>
  <c r="E31" i="22" l="1"/>
  <c r="E32" i="22" s="1"/>
  <c r="E28" i="22"/>
  <c r="S29" i="22"/>
  <c r="E20" i="22"/>
  <c r="E21" i="22" s="1"/>
  <c r="S30" i="22"/>
  <c r="S27" i="22"/>
  <c r="S28" i="22"/>
  <c r="R31" i="22"/>
  <c r="D22" i="22"/>
  <c r="D20" i="22"/>
  <c r="K20" i="22" s="1"/>
  <c r="R15" i="22"/>
  <c r="D28" i="22"/>
  <c r="D18" i="22"/>
  <c r="K18" i="22" s="1"/>
  <c r="D34" i="22"/>
  <c r="D29" i="22"/>
  <c r="R18" i="22"/>
  <c r="D32" i="22"/>
  <c r="K32" i="22" s="1"/>
  <c r="D30" i="22"/>
  <c r="R19" i="22"/>
  <c r="D16" i="22"/>
  <c r="D15" i="22"/>
  <c r="D33" i="22"/>
  <c r="D31" i="22"/>
  <c r="D19" i="22"/>
  <c r="D23" i="22"/>
  <c r="D21" i="22"/>
  <c r="D17" i="22"/>
  <c r="K17" i="22" s="1"/>
  <c r="Y32" i="22"/>
  <c r="Y31" i="22"/>
  <c r="Y19" i="22"/>
  <c r="Y29" i="22"/>
  <c r="Y26" i="22"/>
  <c r="Y20" i="22"/>
  <c r="Y18" i="22"/>
  <c r="Y15" i="22"/>
  <c r="Y28" i="22"/>
  <c r="Y27" i="22"/>
  <c r="Y24" i="22"/>
  <c r="Y22" i="22"/>
  <c r="Y25" i="22"/>
  <c r="Y23" i="22"/>
  <c r="Y16" i="22"/>
  <c r="Y30" i="22"/>
  <c r="Y33" i="22"/>
  <c r="Y21" i="22"/>
  <c r="Y17" i="22"/>
  <c r="Q30" i="22"/>
  <c r="X30" i="22" s="1"/>
  <c r="Q27" i="22"/>
  <c r="Q28" i="22"/>
  <c r="C31" i="22"/>
  <c r="C32" i="22" s="1"/>
  <c r="Q29" i="22"/>
  <c r="X29" i="22" s="1"/>
  <c r="C28" i="22"/>
  <c r="C20" i="22"/>
  <c r="C21" i="22" s="1"/>
  <c r="B33" i="22"/>
  <c r="P18" i="22"/>
  <c r="B32" i="22"/>
  <c r="B30" i="22"/>
  <c r="B29" i="22"/>
  <c r="B20" i="22"/>
  <c r="B16" i="22"/>
  <c r="B31" i="22"/>
  <c r="B19" i="22"/>
  <c r="J19" i="22" s="1"/>
  <c r="P15" i="22"/>
  <c r="B34" i="22"/>
  <c r="B15" i="22"/>
  <c r="P19" i="22"/>
  <c r="X19" i="22" s="1"/>
  <c r="B28" i="22"/>
  <c r="B22" i="22"/>
  <c r="B18" i="22"/>
  <c r="J18" i="22" s="1"/>
  <c r="P31" i="22"/>
  <c r="B21" i="22"/>
  <c r="B17" i="22"/>
  <c r="B23" i="22"/>
  <c r="X28" i="22"/>
  <c r="X24" i="22"/>
  <c r="X16" i="22"/>
  <c r="X25" i="22"/>
  <c r="X21" i="22"/>
  <c r="X22" i="22"/>
  <c r="X32" i="22"/>
  <c r="X26" i="22"/>
  <c r="X23" i="22"/>
  <c r="X18" i="22"/>
  <c r="X20" i="22"/>
  <c r="X33" i="22"/>
  <c r="X17" i="22"/>
  <c r="D13" i="11"/>
  <c r="K21" i="22" l="1"/>
  <c r="S31" i="22"/>
  <c r="J31" i="22"/>
  <c r="K28" i="22"/>
  <c r="J32" i="22"/>
  <c r="K31" i="22"/>
  <c r="E30" i="22"/>
  <c r="K30" i="22" s="1"/>
  <c r="E29" i="22"/>
  <c r="K29" i="22" s="1"/>
  <c r="Y34" i="22"/>
  <c r="E15" i="22"/>
  <c r="K19" i="22"/>
  <c r="J20" i="22"/>
  <c r="Q31" i="22"/>
  <c r="X31" i="22" s="1"/>
  <c r="J21" i="22"/>
  <c r="X27" i="22"/>
  <c r="C29" i="22"/>
  <c r="J29" i="22" s="1"/>
  <c r="C30" i="22"/>
  <c r="J30" i="22" s="1"/>
  <c r="J28" i="22"/>
  <c r="J17" i="22"/>
  <c r="C15" i="22"/>
  <c r="F36" i="14"/>
  <c r="C33" i="22" l="1"/>
  <c r="C34" i="22" s="1"/>
  <c r="J34" i="22" s="1"/>
  <c r="E33" i="22"/>
  <c r="E16" i="22"/>
  <c r="K16" i="22" s="1"/>
  <c r="E22" i="22"/>
  <c r="K22" i="22" s="1"/>
  <c r="E23" i="22"/>
  <c r="K23" i="22" s="1"/>
  <c r="K15" i="22"/>
  <c r="J33" i="22"/>
  <c r="J35" i="22" s="1"/>
  <c r="J15" i="22"/>
  <c r="C16" i="22"/>
  <c r="J16" i="22" s="1"/>
  <c r="C22" i="22"/>
  <c r="J22" i="22" s="1"/>
  <c r="C23" i="22"/>
  <c r="J23" i="22" s="1"/>
  <c r="D8" i="11"/>
  <c r="D7" i="11"/>
  <c r="E34" i="22" l="1"/>
  <c r="K34" i="22" s="1"/>
  <c r="K33" i="22"/>
  <c r="K35" i="22" s="1"/>
  <c r="K39" i="22" s="1"/>
  <c r="Y35" i="22" s="1"/>
  <c r="Y36" i="22" s="1"/>
  <c r="K24" i="22"/>
  <c r="J24" i="22"/>
  <c r="J37" i="22" s="1"/>
  <c r="D31" i="20"/>
  <c r="D29" i="20"/>
  <c r="D28" i="20"/>
  <c r="D26" i="20"/>
  <c r="D23" i="20"/>
  <c r="J39" i="22" l="1"/>
  <c r="K37" i="22"/>
  <c r="X35" i="22"/>
  <c r="D30" i="20"/>
  <c r="D25" i="20"/>
  <c r="D24" i="20"/>
  <c r="D27" i="20" l="1"/>
  <c r="D12" i="21" l="1"/>
  <c r="D7" i="21"/>
  <c r="G14" i="2" l="1"/>
  <c r="F91" i="14" l="1"/>
  <c r="F83" i="14"/>
  <c r="F76" i="14"/>
  <c r="F69" i="14"/>
  <c r="F68" i="14"/>
  <c r="F60" i="14"/>
  <c r="F59" i="14"/>
  <c r="F50" i="14"/>
  <c r="F49" i="14"/>
  <c r="F35" i="14"/>
  <c r="F26" i="14"/>
  <c r="F25" i="14"/>
  <c r="F18" i="14"/>
  <c r="F17" i="14"/>
  <c r="F9" i="14"/>
  <c r="F8" i="14"/>
  <c r="E18" i="15" l="1"/>
  <c r="E19" i="15" s="1"/>
  <c r="E11" i="15"/>
  <c r="E12" i="15" s="1"/>
  <c r="K24" i="13"/>
  <c r="D23" i="13"/>
  <c r="B9" i="22" l="1"/>
  <c r="C9" i="22"/>
  <c r="D9" i="22"/>
  <c r="E9" i="22"/>
  <c r="U15" i="22" s="1"/>
  <c r="E7" i="22"/>
  <c r="Q15" i="22" s="1"/>
  <c r="X15" i="22" s="1"/>
  <c r="X34" i="22" s="1"/>
  <c r="X36" i="22" s="1"/>
  <c r="U30" i="22" l="1"/>
  <c r="G20" i="22"/>
  <c r="G21" i="22" s="1"/>
  <c r="G31" i="22"/>
  <c r="G32" i="22" s="1"/>
  <c r="U29" i="22"/>
  <c r="Z29" i="22" s="1"/>
  <c r="U28" i="22"/>
  <c r="Z28" i="22" s="1"/>
  <c r="G28" i="22"/>
  <c r="U27" i="22"/>
  <c r="U31" i="22" s="1"/>
  <c r="T31" i="22"/>
  <c r="F23" i="22"/>
  <c r="F19" i="22"/>
  <c r="L19" i="22" s="1"/>
  <c r="F17" i="22"/>
  <c r="F21" i="22"/>
  <c r="L21" i="22" s="1"/>
  <c r="F34" i="22"/>
  <c r="F29" i="22"/>
  <c r="F16" i="22"/>
  <c r="F33" i="22"/>
  <c r="F22" i="22"/>
  <c r="T18" i="22"/>
  <c r="F15" i="22"/>
  <c r="F32" i="22"/>
  <c r="T15" i="22"/>
  <c r="Z15" i="22" s="1"/>
  <c r="F31" i="22"/>
  <c r="L31" i="22" s="1"/>
  <c r="F20" i="22"/>
  <c r="L20" i="22" s="1"/>
  <c r="T19" i="22"/>
  <c r="Z19" i="22" s="1"/>
  <c r="F30" i="22"/>
  <c r="F28" i="22"/>
  <c r="F18" i="22"/>
  <c r="L18" i="22" s="1"/>
  <c r="Z23" i="22"/>
  <c r="Z18" i="22"/>
  <c r="Z33" i="22"/>
  <c r="Z25" i="22"/>
  <c r="Z16" i="22"/>
  <c r="Z22" i="22"/>
  <c r="Z20" i="22"/>
  <c r="Z32" i="22"/>
  <c r="Z17" i="22"/>
  <c r="Z26" i="22"/>
  <c r="Z30" i="22"/>
  <c r="Z24" i="22"/>
  <c r="Z21" i="22"/>
  <c r="F7" i="16"/>
  <c r="Z31" i="22" l="1"/>
  <c r="Z27" i="22"/>
  <c r="Z34" i="22" s="1"/>
  <c r="G29" i="22"/>
  <c r="L29" i="22" s="1"/>
  <c r="G30" i="22"/>
  <c r="L30" i="22" s="1"/>
  <c r="G33" i="22"/>
  <c r="G34" i="22" s="1"/>
  <c r="L34" i="22" s="1"/>
  <c r="L32" i="22"/>
  <c r="L28" i="22"/>
  <c r="L17" i="22"/>
  <c r="G15" i="22"/>
  <c r="F8" i="16"/>
  <c r="L33" i="22" l="1"/>
  <c r="L35" i="22" s="1"/>
  <c r="G16" i="22"/>
  <c r="L16" i="22" s="1"/>
  <c r="G23" i="22"/>
  <c r="L23" i="22" s="1"/>
  <c r="G22" i="22"/>
  <c r="L22" i="22" s="1"/>
  <c r="L15" i="22"/>
  <c r="E12" i="21"/>
  <c r="E7" i="21"/>
  <c r="G7" i="21" s="1"/>
  <c r="L24" i="22" l="1"/>
  <c r="L37" i="22" s="1"/>
  <c r="K12" i="21"/>
  <c r="L39" i="22" l="1"/>
  <c r="Z35" i="22"/>
  <c r="Z36" i="22" s="1"/>
  <c r="F9" i="16" s="1"/>
  <c r="C18" i="20"/>
  <c r="B18" i="20"/>
  <c r="C23" i="20"/>
  <c r="E23" i="20" s="1"/>
  <c r="E32" i="20" s="1"/>
  <c r="E31" i="20"/>
  <c r="E29" i="20"/>
  <c r="E28" i="20"/>
  <c r="B27" i="20"/>
  <c r="C26" i="20"/>
  <c r="C27" i="20" s="1"/>
  <c r="B25" i="20"/>
  <c r="C24" i="20"/>
  <c r="C30" i="20" s="1"/>
  <c r="E30" i="20" s="1"/>
  <c r="F12" i="20"/>
  <c r="B13" i="20" s="1"/>
  <c r="E10" i="20"/>
  <c r="D10" i="20"/>
  <c r="C10" i="20"/>
  <c r="B10" i="20"/>
  <c r="E9" i="20"/>
  <c r="D9" i="20"/>
  <c r="C9" i="20"/>
  <c r="B9" i="20"/>
  <c r="E11" i="20" l="1"/>
  <c r="C25" i="20"/>
  <c r="E25" i="20" s="1"/>
  <c r="E24" i="20"/>
  <c r="B11" i="20"/>
  <c r="C13" i="20"/>
  <c r="E27" i="20"/>
  <c r="D11" i="20"/>
  <c r="D13" i="20"/>
  <c r="E26" i="20"/>
  <c r="E13" i="20"/>
  <c r="C11" i="20"/>
  <c r="C15" i="19" l="1"/>
  <c r="B23" i="19" s="1"/>
  <c r="B15" i="19"/>
  <c r="B22" i="19" s="1"/>
  <c r="F14" i="19"/>
  <c r="E14" i="19"/>
  <c r="F13" i="19"/>
  <c r="E13" i="19"/>
  <c r="E12" i="19"/>
  <c r="F11" i="19"/>
  <c r="E11" i="19"/>
  <c r="F10" i="19"/>
  <c r="E10" i="19"/>
  <c r="E9" i="19"/>
  <c r="B17" i="20" l="1"/>
  <c r="B19" i="20" s="1"/>
  <c r="C17" i="20"/>
  <c r="C19" i="20" s="1"/>
  <c r="F15" i="19"/>
  <c r="D5" i="20" s="1"/>
  <c r="D8" i="20" s="1"/>
  <c r="E15" i="19"/>
  <c r="B5" i="20" s="1"/>
  <c r="B8" i="20" s="1"/>
  <c r="C5" i="20" l="1"/>
  <c r="C8" i="20" s="1"/>
  <c r="E5" i="20"/>
  <c r="E8" i="20" s="1"/>
  <c r="B7" i="20"/>
  <c r="B6" i="20"/>
  <c r="D7" i="20"/>
  <c r="D6" i="20"/>
  <c r="C23" i="19"/>
  <c r="C22" i="19"/>
  <c r="C6" i="20" l="1"/>
  <c r="C7" i="20"/>
  <c r="E6" i="20"/>
  <c r="E7" i="20"/>
  <c r="D12" i="20"/>
  <c r="D14" i="20" s="1"/>
  <c r="D15" i="20" s="1"/>
  <c r="D20" i="20" s="1"/>
  <c r="C12" i="20" l="1"/>
  <c r="C14" i="20" s="1"/>
  <c r="C15" i="20" s="1"/>
  <c r="C20" i="20" s="1"/>
  <c r="E12" i="20"/>
  <c r="E14" i="20" s="1"/>
  <c r="E15" i="20" s="1"/>
  <c r="E20" i="20" s="1"/>
  <c r="E23" i="19"/>
  <c r="D23" i="19" s="1"/>
  <c r="B12" i="20"/>
  <c r="B14" i="20" s="1"/>
  <c r="B15" i="20" s="1"/>
  <c r="B20" i="20" s="1"/>
  <c r="E22" i="19" l="1"/>
  <c r="E24" i="19" s="1"/>
  <c r="D24" i="19" s="1"/>
  <c r="D22" i="19" l="1"/>
  <c r="B20" i="8"/>
  <c r="C29" i="8"/>
  <c r="C13" i="8"/>
  <c r="B29" i="8"/>
  <c r="B13" i="8"/>
  <c r="E62" i="14" l="1"/>
  <c r="F62" i="14" s="1"/>
  <c r="E52" i="14"/>
  <c r="F52" i="14" s="1"/>
  <c r="E40" i="14"/>
  <c r="F40" i="14" s="1"/>
  <c r="E10" i="14"/>
  <c r="E27" i="14"/>
  <c r="E37" i="14"/>
  <c r="E39" i="14"/>
  <c r="F39" i="14" s="1"/>
  <c r="E42" i="14"/>
  <c r="F42" i="14" s="1"/>
  <c r="E51" i="14"/>
  <c r="E53" i="14"/>
  <c r="F53" i="14" s="1"/>
  <c r="D92" i="14"/>
  <c r="B62" i="3"/>
  <c r="B9" i="3" s="1"/>
  <c r="D12" i="12"/>
  <c r="D22" i="12" s="1"/>
  <c r="E12" i="12"/>
  <c r="E22" i="12" s="1"/>
  <c r="F12" i="12"/>
  <c r="F22" i="12" s="1"/>
  <c r="G12" i="12"/>
  <c r="G22" i="12" s="1"/>
  <c r="H12" i="12"/>
  <c r="H22" i="12" s="1"/>
  <c r="I12" i="12"/>
  <c r="I22" i="12" s="1"/>
  <c r="J12" i="12"/>
  <c r="J22" i="12" s="1"/>
  <c r="K12" i="12"/>
  <c r="K22" i="12" s="1"/>
  <c r="D18" i="12"/>
  <c r="D19" i="12" s="1"/>
  <c r="E18" i="12"/>
  <c r="E19" i="12" s="1"/>
  <c r="F18" i="12"/>
  <c r="F19" i="12" s="1"/>
  <c r="G18" i="12"/>
  <c r="G23" i="12" s="1"/>
  <c r="H18" i="12"/>
  <c r="H19" i="12" s="1"/>
  <c r="I18" i="12"/>
  <c r="I19" i="12" s="1"/>
  <c r="J18" i="12"/>
  <c r="J23" i="12" s="1"/>
  <c r="K18" i="12"/>
  <c r="K19" i="12" s="1"/>
  <c r="D27" i="13"/>
  <c r="K6" i="13"/>
  <c r="D9" i="13"/>
  <c r="K9" i="13"/>
  <c r="D11" i="13"/>
  <c r="D32" i="13" s="1"/>
  <c r="K11" i="13"/>
  <c r="K33" i="13" s="1"/>
  <c r="G17" i="2"/>
  <c r="G18" i="2" s="1"/>
  <c r="E57" i="3" l="1"/>
  <c r="I23" i="12"/>
  <c r="G19" i="12"/>
  <c r="E59" i="3"/>
  <c r="E12" i="3"/>
  <c r="E13" i="3"/>
  <c r="E60" i="3"/>
  <c r="J10" i="2"/>
  <c r="J7" i="2"/>
  <c r="J11" i="2" s="1"/>
  <c r="H23" i="12"/>
  <c r="H24" i="12" s="1"/>
  <c r="H26" i="12" s="1"/>
  <c r="E33" i="14" s="1"/>
  <c r="F33" i="14" s="1"/>
  <c r="J19" i="12"/>
  <c r="F51" i="14"/>
  <c r="E54" i="14"/>
  <c r="F54" i="14" s="1"/>
  <c r="F10" i="14"/>
  <c r="E11" i="14"/>
  <c r="F11" i="14" s="1"/>
  <c r="D23" i="12"/>
  <c r="D24" i="12" s="1"/>
  <c r="D26" i="12" s="1"/>
  <c r="F37" i="14"/>
  <c r="F27" i="14"/>
  <c r="E28" i="14"/>
  <c r="F28" i="14" s="1"/>
  <c r="K23" i="12"/>
  <c r="K24" i="12" s="1"/>
  <c r="K26" i="12" s="1"/>
  <c r="I24" i="12"/>
  <c r="I26" i="12" s="1"/>
  <c r="E7" i="14" s="1"/>
  <c r="F7" i="14" s="1"/>
  <c r="G24" i="12"/>
  <c r="F23" i="12"/>
  <c r="F24" i="12" s="1"/>
  <c r="F26" i="12" s="1"/>
  <c r="E58" i="14" s="1"/>
  <c r="F58" i="14" s="1"/>
  <c r="E23" i="12"/>
  <c r="E24" i="12" s="1"/>
  <c r="E26" i="12" s="1"/>
  <c r="E67" i="14" s="1"/>
  <c r="F67" i="14" s="1"/>
  <c r="D31" i="13"/>
  <c r="K28" i="13"/>
  <c r="K29" i="13" s="1"/>
  <c r="K32" i="13"/>
  <c r="D6" i="13"/>
  <c r="J24" i="12"/>
  <c r="E27" i="3"/>
  <c r="E29" i="3"/>
  <c r="E31" i="3"/>
  <c r="E33" i="3"/>
  <c r="E35" i="3"/>
  <c r="E37" i="3"/>
  <c r="E39" i="3"/>
  <c r="E41" i="3"/>
  <c r="E43" i="3"/>
  <c r="E45" i="3"/>
  <c r="E47" i="3"/>
  <c r="E49" i="3"/>
  <c r="E52" i="3"/>
  <c r="E54" i="3"/>
  <c r="E56" i="3"/>
  <c r="E58" i="3"/>
  <c r="E53" i="3"/>
  <c r="E26" i="3"/>
  <c r="E28" i="3"/>
  <c r="E30" i="3"/>
  <c r="E32" i="3"/>
  <c r="E34" i="3"/>
  <c r="E36" i="3"/>
  <c r="E38" i="3"/>
  <c r="E40" i="3"/>
  <c r="E42" i="3"/>
  <c r="E44" i="3"/>
  <c r="E46" i="3"/>
  <c r="E48" i="3"/>
  <c r="E50" i="3"/>
  <c r="E51" i="3"/>
  <c r="E55" i="3"/>
  <c r="E61" i="3"/>
  <c r="F12" i="6"/>
  <c r="E70" i="14"/>
  <c r="E61" i="14"/>
  <c r="E38" i="14"/>
  <c r="F38" i="14" s="1"/>
  <c r="E77" i="14"/>
  <c r="E20" i="14"/>
  <c r="F20" i="14" s="1"/>
  <c r="E41" i="14"/>
  <c r="F41" i="14" s="1"/>
  <c r="E19" i="14"/>
  <c r="E92" i="14"/>
  <c r="E84" i="14"/>
  <c r="D28" i="13"/>
  <c r="D33" i="13"/>
  <c r="E24" i="3"/>
  <c r="E22" i="3"/>
  <c r="E20" i="3"/>
  <c r="E18" i="3"/>
  <c r="E16" i="3"/>
  <c r="E14" i="3"/>
  <c r="E25" i="3"/>
  <c r="E23" i="3"/>
  <c r="E21" i="3"/>
  <c r="E19" i="3"/>
  <c r="E17" i="3"/>
  <c r="E15" i="3"/>
  <c r="J26" i="12" l="1"/>
  <c r="E89" i="14" s="1"/>
  <c r="F89" i="14" s="1"/>
  <c r="F12" i="14"/>
  <c r="G26" i="12"/>
  <c r="E15" i="14" s="1"/>
  <c r="F15" i="14" s="1"/>
  <c r="F29" i="14"/>
  <c r="E16" i="14"/>
  <c r="F16" i="14" s="1"/>
  <c r="E82" i="14"/>
  <c r="F82" i="14" s="1"/>
  <c r="E34" i="14"/>
  <c r="F34" i="14" s="1"/>
  <c r="D34" i="13"/>
  <c r="D36" i="13" s="1"/>
  <c r="E47" i="14" s="1"/>
  <c r="F47" i="14" s="1"/>
  <c r="E43" i="14"/>
  <c r="F43" i="14" s="1"/>
  <c r="F92" i="14"/>
  <c r="E93" i="14"/>
  <c r="F93" i="14" s="1"/>
  <c r="F70" i="14"/>
  <c r="E71" i="14"/>
  <c r="F71" i="14" s="1"/>
  <c r="F77" i="14"/>
  <c r="E78" i="14"/>
  <c r="F78" i="14" s="1"/>
  <c r="F19" i="14"/>
  <c r="E21" i="14"/>
  <c r="F21" i="14" s="1"/>
  <c r="F84" i="14"/>
  <c r="E85" i="14"/>
  <c r="F85" i="14" s="1"/>
  <c r="F61" i="14"/>
  <c r="E63" i="14"/>
  <c r="F63" i="14" s="1"/>
  <c r="E75" i="14"/>
  <c r="F75" i="14" s="1"/>
  <c r="E48" i="14"/>
  <c r="F48" i="14" s="1"/>
  <c r="E90" i="14"/>
  <c r="F90" i="14" s="1"/>
  <c r="K34" i="13"/>
  <c r="K35" i="13" s="1"/>
  <c r="K37" i="13" s="1"/>
  <c r="E32" i="14" s="1"/>
  <c r="F32" i="14" s="1"/>
  <c r="F11" i="16"/>
  <c r="B5" i="6" s="1"/>
  <c r="E62" i="3"/>
  <c r="F72" i="14" l="1"/>
  <c r="F79" i="14"/>
  <c r="F10" i="6"/>
  <c r="F11" i="6"/>
  <c r="F61" i="3"/>
  <c r="F50" i="3"/>
  <c r="F12" i="3"/>
  <c r="F13" i="3"/>
  <c r="F54" i="3"/>
  <c r="F44" i="14"/>
  <c r="F86" i="14"/>
  <c r="F94" i="14"/>
  <c r="F22" i="14"/>
  <c r="F55" i="14"/>
  <c r="F64" i="14"/>
  <c r="F37" i="3"/>
  <c r="F30" i="3"/>
  <c r="F49" i="3"/>
  <c r="F36" i="3"/>
  <c r="F26" i="3"/>
  <c r="F31" i="3"/>
  <c r="F44" i="3"/>
  <c r="F55" i="3"/>
  <c r="F35" i="3"/>
  <c r="F48" i="3"/>
  <c r="F38" i="3"/>
  <c r="F53" i="3"/>
  <c r="F45" i="3"/>
  <c r="F58" i="3"/>
  <c r="F34" i="3"/>
  <c r="F32" i="3"/>
  <c r="F39" i="3"/>
  <c r="F56" i="3"/>
  <c r="F33" i="3"/>
  <c r="F46" i="3"/>
  <c r="F27" i="3"/>
  <c r="F40" i="3"/>
  <c r="F59" i="3"/>
  <c r="F60" i="3"/>
  <c r="F57" i="3"/>
  <c r="F29" i="3"/>
  <c r="F42" i="3"/>
  <c r="F51" i="3"/>
  <c r="F47" i="3"/>
  <c r="F52" i="3"/>
  <c r="F28" i="3"/>
  <c r="F41" i="3"/>
  <c r="F43" i="3"/>
  <c r="F64" i="3"/>
  <c r="F14" i="3"/>
  <c r="F20" i="3"/>
  <c r="F24" i="3"/>
  <c r="F22" i="3"/>
  <c r="F25" i="3"/>
  <c r="F18" i="3"/>
  <c r="F16" i="3"/>
  <c r="F17" i="3"/>
  <c r="F23" i="3"/>
  <c r="F21" i="3"/>
  <c r="F19" i="3"/>
  <c r="F15" i="3"/>
  <c r="F62" i="3" l="1"/>
  <c r="F65" i="3" s="1"/>
  <c r="F67" i="3" s="1"/>
  <c r="F69" i="3" s="1"/>
  <c r="C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IP</author>
  </authors>
  <commentList>
    <comment ref="H11" authorId="0" shapeId="0" xr:uid="{00000000-0006-0000-0300-000001000000}">
      <text>
        <r>
          <rPr>
            <sz val="8"/>
            <color indexed="8"/>
            <rFont val="Tahoma"/>
            <family val="2"/>
            <charset val="1"/>
          </rPr>
          <t>30 stevedores are commonly needed for loading ships in union ports. Contact RO valuation for changes when export port is non-union (native corporation).</t>
        </r>
      </text>
    </comment>
    <comment ref="I11" authorId="0" shapeId="0" xr:uid="{00000000-0006-0000-0300-000002000000}">
      <text>
        <r>
          <rPr>
            <sz val="8"/>
            <color indexed="8"/>
            <rFont val="Tahoma"/>
            <family val="2"/>
            <charset val="1"/>
          </rPr>
          <t>30 stevedores are commonly needed for loading ships in union ports. Contact RO  valuation for changes when export port is non-union (native corporation).</t>
        </r>
      </text>
    </comment>
    <comment ref="J11" authorId="1" shapeId="0" xr:uid="{00000000-0006-0000-0300-000003000000}">
      <text>
        <r>
          <rPr>
            <sz val="8"/>
            <color indexed="81"/>
            <rFont val="Tahoma"/>
            <family val="2"/>
          </rPr>
          <t>Only 5 Klawock stevedores are needed in Ketchikan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1" authorId="0" shapeId="0" xr:uid="{00000000-0006-0000-0900-000001000000}">
      <text>
        <r>
          <rPr>
            <sz val="10"/>
            <rFont val="Arial"/>
            <family val="2"/>
            <charset val="1"/>
          </rPr>
          <t>2018 Cat Hbk 558 high factor</t>
        </r>
      </text>
    </comment>
    <comment ref="E11" authorId="0" shapeId="0" xr:uid="{00000000-0006-0000-0900-000002000000}">
      <text>
        <r>
          <rPr>
            <sz val="10"/>
            <rFont val="Arial"/>
            <family val="2"/>
            <charset val="1"/>
          </rPr>
          <t>2018 Cat Hbk 552 FB med-high factor</t>
        </r>
      </text>
    </comment>
    <comment ref="F11" authorId="0" shapeId="0" xr:uid="{00000000-0006-0000-0900-000003000000}">
      <text>
        <r>
          <rPr>
            <sz val="10"/>
            <rFont val="Arial"/>
            <family val="2"/>
            <charset val="1"/>
          </rPr>
          <t>2018 Cat Hbk 552 Harvester med-high factor</t>
        </r>
      </text>
    </comment>
    <comment ref="G11" authorId="0" shapeId="0" xr:uid="{00000000-0006-0000-0900-000004000000}">
      <text>
        <r>
          <rPr>
            <sz val="10"/>
            <rFont val="Arial"/>
            <family val="2"/>
            <charset val="1"/>
          </rPr>
          <t>2018 Cat Hbk 527 med factor</t>
        </r>
      </text>
    </comment>
    <comment ref="H11" authorId="0" shapeId="0" xr:uid="{00000000-0006-0000-0900-000005000000}">
      <text>
        <r>
          <rPr>
            <sz val="10"/>
            <rFont val="Arial"/>
            <family val="2"/>
            <charset val="1"/>
          </rPr>
          <t>Danzco</t>
        </r>
      </text>
    </comment>
    <comment ref="I11" authorId="0" shapeId="0" xr:uid="{00000000-0006-0000-0900-000006000000}">
      <text>
        <r>
          <rPr>
            <sz val="10"/>
            <rFont val="Arial"/>
            <family val="2"/>
            <charset val="1"/>
          </rPr>
          <t>2018 Cat Hbk 552 Harvester high factor</t>
        </r>
      </text>
    </comment>
    <comment ref="J11" authorId="0" shapeId="0" xr:uid="{00000000-0006-0000-0900-000007000000}">
      <text>
        <r>
          <rPr>
            <sz val="10"/>
            <rFont val="Arial"/>
            <family val="2"/>
            <charset val="1"/>
          </rPr>
          <t>Kinzua</t>
        </r>
      </text>
    </comment>
    <comment ref="K11" authorId="0" shapeId="0" xr:uid="{00000000-0006-0000-0900-000008000000}">
      <text>
        <r>
          <rPr>
            <sz val="10"/>
            <rFont val="Arial"/>
            <family val="2"/>
            <charset val="1"/>
          </rPr>
          <t>Cat Hbk 320 med-high factor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10" authorId="0" shapeId="0" xr:uid="{00000000-0006-0000-0A00-000001000000}">
      <text>
        <r>
          <rPr>
            <sz val="10"/>
            <rFont val="Arial"/>
            <family val="2"/>
            <charset val="1"/>
          </rPr>
          <t>430-450 hp, 72% of rated cap'y</t>
        </r>
      </text>
    </comment>
    <comment ref="K10" authorId="0" shapeId="0" xr:uid="{00000000-0006-0000-0A00-000002000000}">
      <text>
        <r>
          <rPr>
            <sz val="10"/>
            <rFont val="Arial"/>
            <family val="2"/>
            <charset val="1"/>
          </rPr>
          <t>260-275 hp, 70% of rated cap'y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B00-000001000000}">
      <text>
        <r>
          <rPr>
            <sz val="10"/>
            <rFont val="Arial"/>
            <family val="2"/>
            <charset val="1"/>
          </rPr>
          <t>Cat 552/Waratah 624</t>
        </r>
      </text>
    </comment>
    <comment ref="B15" authorId="0" shapeId="0" xr:uid="{00000000-0006-0000-0B00-000003000000}">
      <text>
        <r>
          <rPr>
            <sz val="10"/>
            <rFont val="Arial"/>
            <family val="2"/>
            <charset val="1"/>
          </rPr>
          <t>Cat 517 TGS</t>
        </r>
      </text>
    </comment>
    <comment ref="B16" authorId="0" shapeId="0" xr:uid="{00000000-0006-0000-0B00-000004000000}">
      <text>
        <r>
          <rPr>
            <sz val="10"/>
            <rFont val="Arial"/>
            <family val="2"/>
            <charset val="1"/>
          </rPr>
          <t>Cat 330</t>
        </r>
      </text>
    </comment>
    <comment ref="B90" authorId="0" shapeId="0" xr:uid="{00000000-0006-0000-0B00-000007000000}">
      <text>
        <r>
          <rPr>
            <sz val="10"/>
            <rFont val="Arial"/>
            <family val="2"/>
            <charset val="1"/>
          </rPr>
          <t>Cat 330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O'Leary, Daniel P -FS</author>
  </authors>
  <commentList>
    <comment ref="A12" authorId="0" shapeId="0" xr:uid="{48FBD24E-4C6A-448C-A48C-B2C3297E952A}">
      <text>
        <r>
          <rPr>
            <b/>
            <sz val="9"/>
            <color indexed="81"/>
            <rFont val="Tahoma"/>
            <family val="2"/>
          </rPr>
          <t>O'Leary, Daniel P -FS:</t>
        </r>
        <r>
          <rPr>
            <sz val="9"/>
            <color indexed="81"/>
            <rFont val="Tahoma"/>
            <family val="2"/>
          </rPr>
          <t xml:space="preserve">
Note:  Every year after costs are updated, check the mileage assumption for least cost method (lowboy vs. self move) and if needed update mileage in cost formula</t>
        </r>
      </text>
    </comment>
  </commentList>
</comments>
</file>

<file path=xl/sharedStrings.xml><?xml version="1.0" encoding="utf-8"?>
<sst xmlns="http://schemas.openxmlformats.org/spreadsheetml/2006/main" count="860" uniqueCount="581">
  <si>
    <t>Camp Cost Calculator</t>
  </si>
  <si>
    <t xml:space="preserve">Historically, all large timber companies (10+ employees) in SE Alaska do incur the cost of providing lodging (with meals in remote locations) as an employment incentive.  </t>
  </si>
  <si>
    <t xml:space="preserve">Small companies (less than 10 employees) do not provide lodging on sales within commuting distance.  </t>
  </si>
  <si>
    <t>Logging System</t>
  </si>
  <si>
    <t xml:space="preserve"> </t>
  </si>
  <si>
    <t>OG Helicopter</t>
  </si>
  <si>
    <t>OG Cable</t>
  </si>
  <si>
    <t>OG Shovel</t>
  </si>
  <si>
    <t>YG Helicopter</t>
  </si>
  <si>
    <t>Total</t>
  </si>
  <si>
    <t>Camp or Lodging Provided by Logging Company</t>
  </si>
  <si>
    <t>Partial camp- lodging-only for 3+ crew members</t>
  </si>
  <si>
    <t>Tow Cost Calculator</t>
  </si>
  <si>
    <t>Data Input</t>
  </si>
  <si>
    <t>Calculated</t>
  </si>
  <si>
    <t>Truck Haul Round-Trip Time (RTT) Calculator</t>
  </si>
  <si>
    <t>Average MPH should be ground-checked (include empty and loaded truck speeds with road improvements)</t>
  </si>
  <si>
    <t>Haul Vol is OG/YG:</t>
  </si>
  <si>
    <t>OG</t>
  </si>
  <si>
    <t>Net Volume Hauled</t>
  </si>
  <si>
    <t>Avg RTT Hours</t>
  </si>
  <si>
    <t>Cost $ per Net MBF</t>
  </si>
  <si>
    <t>Haul Summary</t>
  </si>
  <si>
    <t xml:space="preserve">Unit Number </t>
  </si>
  <si>
    <t xml:space="preserve">Calculated Wted Avg Haul Miles </t>
  </si>
  <si>
    <t>Calculated Wted Avg MPH</t>
  </si>
  <si>
    <t>Total Haul Net MBF</t>
  </si>
  <si>
    <t xml:space="preserve"> Weighted Average Haul Miles (one-way)</t>
  </si>
  <si>
    <t xml:space="preserve"> calculated miles</t>
  </si>
  <si>
    <t xml:space="preserve"> Weighted Avg Truck MPH (round-trip)</t>
  </si>
  <si>
    <t xml:space="preserve"> calculated MPH</t>
  </si>
  <si>
    <t xml:space="preserve"> Standard 0.5 Hour Delay for Load/Unload</t>
  </si>
  <si>
    <t xml:space="preserve"> Average Truck Haul Round-trip Time with Delay for Load/Unload</t>
  </si>
  <si>
    <t xml:space="preserve"> Additional Round-Trip Delay Time, Hours (2 decimal)</t>
  </si>
  <si>
    <t xml:space="preserve">Additional Stevedore Cost </t>
  </si>
  <si>
    <t>Determine whether Stevedores are able to commute daily to export facility or must travel and lodge nearby during shiploading</t>
  </si>
  <si>
    <t>Shiploading Daily Production Rate</t>
  </si>
  <si>
    <t>Total Shiploading Days</t>
  </si>
  <si>
    <t>Total Stevedore Unusual Cost Adjustment</t>
  </si>
  <si>
    <t>YG</t>
  </si>
  <si>
    <t>Non-tug Crew = 30 people</t>
  </si>
  <si>
    <t>Conventional Equipment Mobilization</t>
  </si>
  <si>
    <t>No</t>
  </si>
  <si>
    <r>
      <t xml:space="preserve">Old Growth </t>
    </r>
    <r>
      <rPr>
        <sz val="14"/>
        <rFont val="Arial"/>
        <family val="2"/>
        <charset val="1"/>
      </rPr>
      <t>(100+ years)</t>
    </r>
    <r>
      <rPr>
        <b/>
        <sz val="14"/>
        <rFont val="Arial"/>
        <family val="2"/>
        <charset val="1"/>
      </rPr>
      <t xml:space="preserve"> Stump-to-Truck Cost Calculator</t>
    </r>
  </si>
  <si>
    <t>Calculator intended for sale-level appraisal.</t>
  </si>
  <si>
    <t>Old Growth Conventional  Equipment Mobilization</t>
  </si>
  <si>
    <t>Old Growth Cable and Shovel Yarding</t>
  </si>
  <si>
    <t>Constraints</t>
  </si>
  <si>
    <t>Short span Cable CC</t>
  </si>
  <si>
    <t>AYD under 350 ft.; slope mostly &lt;35%</t>
  </si>
  <si>
    <t>Long Shovel CC Downhill (AYD&gt;350 ft.)</t>
  </si>
  <si>
    <t>AYD over 350 ft.; slope mostly &lt;35%</t>
  </si>
  <si>
    <t>Shovel CC Uphill</t>
  </si>
  <si>
    <t>Shovel PC Uphill</t>
  </si>
  <si>
    <t>INTRODUCTION AND INSTRUCTIONS:</t>
  </si>
  <si>
    <t>This calculator is for the appraisal of Young Growth (YG) stump-to-truck logging costs on the TONGASS NF.</t>
  </si>
  <si>
    <t xml:space="preserve">Costs do NOT include:   taxes, insurance, return-on-investment, camp costs, management burden, road maintenance/construction/reconstruction, sale mobilization, and job layout costs.  </t>
  </si>
  <si>
    <t xml:space="preserve">If timber sale inputs are outside specified ranges contact RO Valuation for assistance.   </t>
  </si>
  <si>
    <t>Clearcut:</t>
  </si>
  <si>
    <t>Includes groups larger than 1 acre contiguous with landing</t>
  </si>
  <si>
    <t>Most long corners under 1200 ft.</t>
  </si>
  <si>
    <t>Most slopes for shovel logging not over 35% adverse or favorable</t>
  </si>
  <si>
    <t>Thinning:</t>
  </si>
  <si>
    <t>Thinning—ground system:</t>
  </si>
  <si>
    <t>Silvicultural prescriptions:  Uniform thinning, group selection (½ – 1 acre groups), strips</t>
  </si>
  <si>
    <t>Not over 35% slope</t>
  </si>
  <si>
    <t>Tops and limbs required to be used as corduroy and are not available as recovered volume</t>
  </si>
  <si>
    <t>Thinning—cable system:</t>
  </si>
  <si>
    <t>Silvicultural prescription: Group selection (¼ – 1 acre groups) ONLY</t>
  </si>
  <si>
    <t>Most long corners under 1000 ft.</t>
  </si>
  <si>
    <t>Single span only</t>
  </si>
  <si>
    <t>Adequate deflection, especially for downhill yarding</t>
  </si>
  <si>
    <t xml:space="preserve">Notes:  </t>
  </si>
  <si>
    <t>1.  Estimator is not applicable where there is significant amount of clearcut or cable yarding beyond 1000 ft..</t>
  </si>
  <si>
    <t xml:space="preserve">2.  No allowance has been made for the added cost of multispan cable systems as the skills and successful implementation are rare in Alaska.  </t>
  </si>
  <si>
    <t>DEFINITIONS  &amp; INPUT VARIABLES</t>
  </si>
  <si>
    <t>Estimate a weighted average where the volume is not evenly distributed.  NOTE:  Separate distances must be input for adverse and favorable components.</t>
  </si>
  <si>
    <t>EXAMPLES</t>
  </si>
  <si>
    <t>Variables fall within the applicable ranges</t>
  </si>
  <si>
    <t>Variables fall outside the applicable ranges (over 450 bf/tree, likely over 1000 ft EYD)</t>
  </si>
  <si>
    <t>Estimator is NOT applicable</t>
  </si>
  <si>
    <t>Variables and prescription fall within the applicable ranges</t>
  </si>
  <si>
    <t>Input data source</t>
  </si>
  <si>
    <t>Limitations</t>
  </si>
  <si>
    <t>Incl. groups &gt;1 ac contiguous w. landing</t>
  </si>
  <si>
    <t>Favorable Skid</t>
  </si>
  <si>
    <t>Adverse Skid</t>
  </si>
  <si>
    <t>AYD, nearest 100 feet</t>
  </si>
  <si>
    <t>Under 350</t>
  </si>
  <si>
    <t>Stump-to-truck cost, $/net Mbf; includes fell &amp; buck</t>
  </si>
  <si>
    <t>Table R001:  Mean DBH (for cut trees)</t>
  </si>
  <si>
    <t>Group selection ½ to 1 acre ONLY</t>
  </si>
  <si>
    <t>Uphill yarding = 0;   Downhill yarding = 1</t>
  </si>
  <si>
    <t>Unit plats</t>
  </si>
  <si>
    <t>Number of take tpa within groups</t>
  </si>
  <si>
    <t>No. of trees from Table TC12; divide by acreage within groups only</t>
  </si>
  <si>
    <t>Yes</t>
  </si>
  <si>
    <t>AYD</t>
  </si>
  <si>
    <t>ANNUAL COST BASIS</t>
  </si>
  <si>
    <t>Purchase price</t>
  </si>
  <si>
    <t>Loader</t>
  </si>
  <si>
    <t>Cat 320</t>
  </si>
  <si>
    <t>Feller-buncher</t>
  </si>
  <si>
    <t>Processor</t>
  </si>
  <si>
    <t>Tracked grapple skidder</t>
  </si>
  <si>
    <t>Grapple yarder, 7/8”</t>
  </si>
  <si>
    <t>Madill 124</t>
  </si>
  <si>
    <t>Pull-through Delimber</t>
  </si>
  <si>
    <t>Danzco PT20X</t>
  </si>
  <si>
    <t>Thinning yarder, 7/8”</t>
  </si>
  <si>
    <t>Harvester</t>
  </si>
  <si>
    <t>Drum chipper</t>
  </si>
  <si>
    <t>Peterson 4310</t>
  </si>
  <si>
    <t>Diesel fuel, $/gal del.</t>
  </si>
  <si>
    <t>Pickup truck $/day</t>
  </si>
  <si>
    <t>Log truck $/hour</t>
  </si>
  <si>
    <t>Cutter</t>
  </si>
  <si>
    <t>Chokersetter</t>
  </si>
  <si>
    <t>Chaser</t>
  </si>
  <si>
    <t>Rigging slinger</t>
  </si>
  <si>
    <t>Yarder engineer</t>
  </si>
  <si>
    <t>Hooktender</t>
  </si>
  <si>
    <t>Landing loader operator</t>
  </si>
  <si>
    <t>Logging shovel operator</t>
  </si>
  <si>
    <t xml:space="preserve">Rigging costs </t>
  </si>
  <si>
    <t>1-1/8” line, per ft.</t>
  </si>
  <si>
    <t>7/8” swaged, per ft.</t>
  </si>
  <si>
    <t>7/8”, per ft.</t>
  </si>
  <si>
    <t>5/8”, per ft.</t>
  </si>
  <si>
    <t>1/2”, per ft.</t>
  </si>
  <si>
    <t>3/8”, per ft.</t>
  </si>
  <si>
    <t>5/16”, per ft.</t>
  </si>
  <si>
    <t>HOURLY OWNING &amp; OPERATING COSTS</t>
  </si>
  <si>
    <t>Excludes taxes, insurance, return-on-investment</t>
  </si>
  <si>
    <t>Danzco</t>
  </si>
  <si>
    <t>PP 4310</t>
  </si>
  <si>
    <t>Shvl Lgr</t>
  </si>
  <si>
    <t>Quadco 2900</t>
  </si>
  <si>
    <t>War 624</t>
  </si>
  <si>
    <t>TG Skdr</t>
  </si>
  <si>
    <t xml:space="preserve">PT20X </t>
  </si>
  <si>
    <t>Drum</t>
  </si>
  <si>
    <t>Log Loader</t>
  </si>
  <si>
    <t>Feller Buncher</t>
  </si>
  <si>
    <t>Delimber</t>
  </si>
  <si>
    <t>Chipper</t>
  </si>
  <si>
    <t>Residual value, %</t>
  </si>
  <si>
    <t>Residual value</t>
  </si>
  <si>
    <t>Oper. hrs/year (meter hrs)</t>
  </si>
  <si>
    <t>Life, years</t>
  </si>
  <si>
    <t>Life, hours</t>
  </si>
  <si>
    <t>Fuel consumption, gallons/hr</t>
  </si>
  <si>
    <t>Fuel cost/gallon</t>
  </si>
  <si>
    <t>Lube cost: % of fuel cost</t>
  </si>
  <si>
    <t xml:space="preserve">Repairs &amp; maintenance, % depreciation </t>
  </si>
  <si>
    <t>Fixed cost, $/hour</t>
  </si>
  <si>
    <t>Depreciation</t>
  </si>
  <si>
    <t>Variable cost, $/hour</t>
  </si>
  <si>
    <t>Fuel &amp; lube</t>
  </si>
  <si>
    <t>Repairs &amp; maintenance</t>
  </si>
  <si>
    <t>Total fixed and variable cost, $/hour</t>
  </si>
  <si>
    <t>Operating hours per year</t>
  </si>
  <si>
    <t>Rigging:</t>
  </si>
  <si>
    <t>Life, hrs</t>
  </si>
  <si>
    <t>Cost, $</t>
  </si>
  <si>
    <t>Diameter</t>
  </si>
  <si>
    <t>Length--ft.</t>
  </si>
  <si>
    <t>Mainline 1</t>
  </si>
  <si>
    <t>7/8"</t>
  </si>
  <si>
    <t>Skyline</t>
  </si>
  <si>
    <t>7/8" sw</t>
  </si>
  <si>
    <t>Mainline 2</t>
  </si>
  <si>
    <t>5/8"</t>
  </si>
  <si>
    <t>Haulback</t>
  </si>
  <si>
    <t>Strawline</t>
  </si>
  <si>
    <t>3/8"</t>
  </si>
  <si>
    <t>1/2”</t>
  </si>
  <si>
    <t>Chokers (10)</t>
  </si>
  <si>
    <t>3/4" x 18'</t>
  </si>
  <si>
    <t>5/16"</t>
  </si>
  <si>
    <t>Guylines</t>
  </si>
  <si>
    <t>1-1/8"</t>
  </si>
  <si>
    <t>½" x 18'</t>
  </si>
  <si>
    <t>Carriages/grapple</t>
  </si>
  <si>
    <t>7/8” sw</t>
  </si>
  <si>
    <t>Other</t>
  </si>
  <si>
    <t>blocks, TT rigging, hdwr, etc</t>
  </si>
  <si>
    <t>Carriages</t>
  </si>
  <si>
    <t>Rigging</t>
  </si>
  <si>
    <t>EST. DAILY LOGGING SIDE COST</t>
  </si>
  <si>
    <t>8.8 sh/day</t>
  </si>
  <si>
    <t>Number</t>
  </si>
  <si>
    <t>Hr/day</t>
  </si>
  <si>
    <t>Cost</t>
  </si>
  <si>
    <t>$/hour</t>
  </si>
  <si>
    <t>$/day</t>
  </si>
  <si>
    <t>Harvester Side: Cat 552/Waratah 624</t>
  </si>
  <si>
    <t>Equipment:</t>
  </si>
  <si>
    <t>Saw</t>
  </si>
  <si>
    <t>Pickup</t>
  </si>
  <si>
    <t>Loaded Labor:</t>
  </si>
  <si>
    <t>Harvester operator</t>
  </si>
  <si>
    <t>Driving time</t>
  </si>
  <si>
    <t>TOTAL harvester side</t>
  </si>
  <si>
    <t>Skid &amp; Load Side: Cat 517, Cat 330</t>
  </si>
  <si>
    <t>Cat skinner</t>
  </si>
  <si>
    <t>Loader operator</t>
  </si>
  <si>
    <t>TOTAL skid &amp; load side</t>
  </si>
  <si>
    <t>Cutting Set: 2 cutters</t>
  </si>
  <si>
    <t>TOTAL cutting set</t>
  </si>
  <si>
    <t>Yarder Side: Diamond DS-2646, Cat 330</t>
  </si>
  <si>
    <t>Yarder</t>
  </si>
  <si>
    <t>Yarder operator</t>
  </si>
  <si>
    <t>Driving time -- 2 crewmen</t>
  </si>
  <si>
    <t>TOTAL yarding side</t>
  </si>
  <si>
    <t>Grapple Yarder Side: Madill 124, Cat 330</t>
  </si>
  <si>
    <t>Tailhold hoe</t>
  </si>
  <si>
    <t>Driving time -- 1 crewman</t>
  </si>
  <si>
    <t>TOTAL grapple yarding side</t>
  </si>
  <si>
    <t>Processing Side: Cat 330/Waratah 624</t>
  </si>
  <si>
    <t>Processor operator</t>
  </si>
  <si>
    <t>TOTAL processing side</t>
  </si>
  <si>
    <t>Feller Buncher Side: Cat 552/Quadco 2900</t>
  </si>
  <si>
    <t>Feller buncher</t>
  </si>
  <si>
    <t>Feller buncher operator</t>
  </si>
  <si>
    <t>TOTAL feller buncher side</t>
  </si>
  <si>
    <t>Shovel Logging Side: Cat 330</t>
  </si>
  <si>
    <t>Shovel</t>
  </si>
  <si>
    <t>Shovel runner</t>
  </si>
  <si>
    <t>TOTAL shovel logging side</t>
  </si>
  <si>
    <t>Loading Side: Cat 330</t>
  </si>
  <si>
    <t>TOTAL loading side</t>
  </si>
  <si>
    <t>Chipper Side: Peterson 4310, Cat 330</t>
  </si>
  <si>
    <t>TOTAL chip side</t>
  </si>
  <si>
    <t>Costs per hour are per meter hour</t>
  </si>
  <si>
    <t>Mobilization without Barge</t>
  </si>
  <si>
    <t>Mobilization with Barge</t>
  </si>
  <si>
    <t>Lowboy Roundtrip Distance (Miles)</t>
  </si>
  <si>
    <t># of Sides</t>
  </si>
  <si>
    <t>Barge Roundtrip Distance (Miles)</t>
  </si>
  <si>
    <t>$/Hr</t>
  </si>
  <si>
    <t>=</t>
  </si>
  <si>
    <t>Tug &amp; Barge</t>
  </si>
  <si>
    <t>Low Boy Operator</t>
  </si>
  <si>
    <t>Grader Operator</t>
  </si>
  <si>
    <t>Lowboy Mobilization Estimate</t>
  </si>
  <si>
    <t>+</t>
  </si>
  <si>
    <t>Mobilization with Barge Estimate</t>
  </si>
  <si>
    <t>Mobilization without Barge Estimate</t>
  </si>
  <si>
    <t>hide this row</t>
  </si>
  <si>
    <t>Shovel CC</t>
  </si>
  <si>
    <t>"downhill" removed from label: uphill is part of "common risk factors" and also captured in cailbration to collected costs</t>
  </si>
  <si>
    <t xml:space="preserve">Logging camp/lodging needs to be included on all timber sales likely to be purchased by "large" timber companies (10+ employees). </t>
  </si>
  <si>
    <t>Daily Production Rates listed are based on "days on site".</t>
  </si>
  <si>
    <t>If timber sale inputs are outside specified ranges, contact RO Valuation for assistance.</t>
  </si>
  <si>
    <r>
      <t xml:space="preserve">TONGASS  Young Growth </t>
    </r>
    <r>
      <rPr>
        <sz val="12"/>
        <rFont val="Arial"/>
        <family val="2"/>
        <charset val="1"/>
      </rPr>
      <t>(Less Than 100 years)</t>
    </r>
    <r>
      <rPr>
        <b/>
        <sz val="12"/>
        <rFont val="Arial"/>
        <family val="2"/>
        <charset val="1"/>
      </rPr>
      <t xml:space="preserve"> Stump-to-Truck  Cost Calculator</t>
    </r>
  </si>
  <si>
    <t>Labor rates are Timber Sale Appraisal No Camp based on 40 hour week with payroll burden</t>
  </si>
  <si>
    <t>Lowboy total</t>
  </si>
  <si>
    <t>Lowboy Operator</t>
  </si>
  <si>
    <t>Low Boy total</t>
  </si>
  <si>
    <t>Shovel/Yarder total</t>
  </si>
  <si>
    <t>Log Loader total</t>
  </si>
  <si>
    <t>Straight Dozer total</t>
  </si>
  <si>
    <t>Grader total</t>
  </si>
  <si>
    <t>Log Loader total (barge load/unload)</t>
  </si>
  <si>
    <t>Log Loader Operator</t>
  </si>
  <si>
    <t>Crew Cab Crummie total</t>
  </si>
  <si>
    <t>Crummie Driver/General Laborer  (Lowboy asst)</t>
  </si>
  <si>
    <t>988 Loader total</t>
  </si>
  <si>
    <t>5th Wheel total</t>
  </si>
  <si>
    <t>5th Wheel Operator</t>
  </si>
  <si>
    <t>Flat Bed total (incl self move to barge/sale area)</t>
  </si>
  <si>
    <t>Fuel Truck total (incl self move to barge/sale area)</t>
  </si>
  <si>
    <t>Water Truck total (incl self move to barge/sale area)</t>
  </si>
  <si>
    <t>Shop Truck total (incl self move to barge/sale area)</t>
  </si>
  <si>
    <t>Overhead factor (1+OH%)</t>
  </si>
  <si>
    <t>Avg. piece size, net Mbf</t>
  </si>
  <si>
    <t>Avg. volume, Mbf/acre</t>
  </si>
  <si>
    <t>1. Clearcut, favorable shovel ground, mostly 10-20% slopes, 0.200 Mbf avg. removed tree volume, 0.10 Mbf piece size, AYD 300 ft.</t>
  </si>
  <si>
    <t>Mobilization 1</t>
  </si>
  <si>
    <t>Mobilization 2</t>
  </si>
  <si>
    <t>Mobilization 3</t>
  </si>
  <si>
    <t>Barge Required</t>
  </si>
  <si>
    <t>Estimate 1: Lowboy Mobilization</t>
  </si>
  <si>
    <t>Estimate 2: Equipment Crawl Mobilization</t>
  </si>
  <si>
    <t xml:space="preserve">Least Cost Option: </t>
  </si>
  <si>
    <t>Conv Equip Mobe Calculator Inputs</t>
  </si>
  <si>
    <t>Equipment Crawl Estimate</t>
  </si>
  <si>
    <t>Mobe 1 Amount</t>
  </si>
  <si>
    <t>Mobe 1 Hours</t>
  </si>
  <si>
    <t>Mobe 2 Amount</t>
  </si>
  <si>
    <t>Mobe 2 Hours</t>
  </si>
  <si>
    <t>Mobe 3 Amount</t>
  </si>
  <si>
    <t>Mobe 3 Hours</t>
  </si>
  <si>
    <t>Mobe 1 
Total Cost</t>
  </si>
  <si>
    <t>Mobe 2 
Total Cost</t>
  </si>
  <si>
    <t>Mobe 3 
Total Cost</t>
  </si>
  <si>
    <t xml:space="preserve">Total Conv Equip Mobilization Cost  </t>
  </si>
  <si>
    <t>If sale area has clearly separated subdivisions or barge is required for only a portion of sale area include more than one mobilization.</t>
  </si>
  <si>
    <t>Used to estimate move-in to new sale area.  Moves between units or landings are included in yarding cost center.</t>
  </si>
  <si>
    <t>YG Cable</t>
  </si>
  <si>
    <t>YG Shovel/Groundbased</t>
  </si>
  <si>
    <t>BY Costs</t>
  </si>
  <si>
    <t>Partial Camp Daily Cost</t>
  </si>
  <si>
    <t>dominant conv log system days</t>
  </si>
  <si>
    <t>Full Camp Daily Cost</t>
  </si>
  <si>
    <t>% shovel/GB only logging days</t>
  </si>
  <si>
    <t>% cable only logging days</t>
  </si>
  <si>
    <t>% shovel/GB + cable logging days</t>
  </si>
  <si>
    <t>Camp Men per Day</t>
  </si>
  <si>
    <t>shovel/GB camp men per logging day</t>
  </si>
  <si>
    <t>Shovel/GB Side</t>
  </si>
  <si>
    <t>cable camp men per logging day</t>
  </si>
  <si>
    <t>Cable Side</t>
  </si>
  <si>
    <t>shovel/GB+cable camp men per log day</t>
  </si>
  <si>
    <t>Other (road crew, mechanic, LTF/SLDR, Camp Mtce.)</t>
  </si>
  <si>
    <t>avg conv camp men per day</t>
  </si>
  <si>
    <t>camp cost per man day</t>
  </si>
  <si>
    <t>calc conv camp cost per day</t>
  </si>
  <si>
    <t>conv total camp cost</t>
  </si>
  <si>
    <t>heli logging days</t>
  </si>
  <si>
    <t>heli camp cost per day</t>
  </si>
  <si>
    <t>heli total camp cost</t>
  </si>
  <si>
    <t>Total Camp Cost</t>
  </si>
  <si>
    <t>Average Production</t>
  </si>
  <si>
    <t>NET MBF per camp day</t>
  </si>
  <si>
    <t xml:space="preserve">Total Cost for camp or lodging provided by logging company </t>
  </si>
  <si>
    <t>Full Camp</t>
  </si>
  <si>
    <t>Partial Camp</t>
  </si>
  <si>
    <t>Camp Cost $        per Net MBF</t>
  </si>
  <si>
    <t>Notes                                                   .</t>
  </si>
  <si>
    <t>Valid only for clearcuts 10+ acres</t>
  </si>
  <si>
    <t xml:space="preserve">YG SHOVEL CLEARCUT </t>
  </si>
  <si>
    <t xml:space="preserve">YG CABLE CLEARCUT  </t>
  </si>
  <si>
    <t xml:space="preserve">YG GROUND-BASED THINNING </t>
  </si>
  <si>
    <t>YG CABLE THINNING</t>
  </si>
  <si>
    <t>Uphill &amp; downhill</t>
  </si>
  <si>
    <t>Deflection &amp; payload must be adequate.   Most long corners under 1000 ft</t>
  </si>
  <si>
    <t>“Uphill” and “downhill” in the sense of chordslope from tailblock to fairlead</t>
  </si>
  <si>
    <t>Avg remove vol/ac 15-65 Mbf</t>
  </si>
  <si>
    <t>Tops and limbs are not removed from forest</t>
  </si>
  <si>
    <t>Avg skidding distance, nearest 100  feet</t>
  </si>
  <si>
    <t>Avg adverse skidding grade, % (+)</t>
  </si>
  <si>
    <t>Avg favorable skidding grade, % (-)</t>
  </si>
  <si>
    <t>Avg piece size, net Mbf</t>
  </si>
  <si>
    <t>Avg remove tree volume, net Mbf</t>
  </si>
  <si>
    <t>Table R001:  Avg cut tree sawlog volume, Net MBF</t>
  </si>
  <si>
    <t>Table R001:  Avg MBF Net removed per 32 ft. log</t>
  </si>
  <si>
    <t>Table R001:  Avg MBF net removed per acre</t>
  </si>
  <si>
    <t>Uniform Thin:   Absolute MAX leave tpa = 150.   MIN remove vol = 6 Mbf/ac</t>
  </si>
  <si>
    <t>Not &gt;35% slope, except isolated inclusions up to ¼ acre. No adverse skid grade &gt;35%.</t>
  </si>
  <si>
    <t>Must have partial suspension uphill, full suspension downhill</t>
  </si>
  <si>
    <t>Groups and strips:  Avg remove vol/ac 15-65 Mbf/ac within groups and strips</t>
  </si>
  <si>
    <t>Barging</t>
  </si>
  <si>
    <t>Amount</t>
  </si>
  <si>
    <t>Hours</t>
  </si>
  <si>
    <t>5th Wheel total (modular camp trailers &amp; equip)</t>
  </si>
  <si>
    <t>Shop Truck total</t>
  </si>
  <si>
    <t>Crew Transportation to Sale Location</t>
  </si>
  <si>
    <t>conv + heli total camp daily cost</t>
  </si>
  <si>
    <t>NA</t>
  </si>
  <si>
    <t>Total Cost</t>
  </si>
  <si>
    <t>Full Camp Barge Mobilization</t>
  </si>
  <si>
    <t>Hidden Calcualtions for Camp and Camp Mobe Costs</t>
  </si>
  <si>
    <t xml:space="preserve"> Travel &amp; lodging ONLY for external crew members </t>
  </si>
  <si>
    <t xml:space="preserve">AK airline, floatplane, ferry (includes crew vehicle divided by # of passengers).  </t>
  </si>
  <si>
    <t>Ketchikan export port?  Yes / No</t>
  </si>
  <si>
    <t>Conventional Yarding Equipment</t>
  </si>
  <si>
    <t xml:space="preserve">Barge Mobe </t>
  </si>
  <si>
    <t>Lowboy/Equip Mobe</t>
  </si>
  <si>
    <t>Cat 558</t>
  </si>
  <si>
    <t>Cat 558/Quadco 2900</t>
  </si>
  <si>
    <t>Cat 558/Waratah 624</t>
  </si>
  <si>
    <t>Eagle Mega Claw</t>
  </si>
  <si>
    <t>Eagle Super Eaglet</t>
  </si>
  <si>
    <t>KMC 2600, sb grpl skidder</t>
  </si>
  <si>
    <t>5yrAvg R10 Conv Logging OH % 2011-2015</t>
  </si>
  <si>
    <t>KMC 2600.</t>
  </si>
  <si>
    <t>not used</t>
  </si>
  <si>
    <t>Shovel/GB:  8.8 SMH per day</t>
  </si>
  <si>
    <t>Cable: 9.1 SMH per day</t>
  </si>
  <si>
    <t>Cutter: 6.5 SH per day</t>
  </si>
  <si>
    <t>Operational utilization = machine meter hours/SMH</t>
  </si>
  <si>
    <r>
      <t xml:space="preserve">7.5hrs/8hrs = </t>
    </r>
    <r>
      <rPr>
        <b/>
        <sz val="10"/>
        <rFont val="Arial"/>
        <family val="2"/>
      </rPr>
      <t>94%</t>
    </r>
  </si>
  <si>
    <t>(SMH includes non-productive delays; i.e. SMH = PMH + delays)</t>
  </si>
  <si>
    <t>Productive utilization = PMH/SMH</t>
  </si>
  <si>
    <r>
      <t xml:space="preserve">7.5hrs/10hrs = </t>
    </r>
    <r>
      <rPr>
        <b/>
        <sz val="10"/>
        <rFont val="Arial"/>
        <family val="2"/>
      </rPr>
      <t>75%</t>
    </r>
  </si>
  <si>
    <t>(PMH excludes all non-productive delays; good contractor sides = 75%)</t>
  </si>
  <si>
    <t>(non-productive delays: downtime, servicing, visitors, personal breaks, late start/early finish, stuck, machine interactions)</t>
  </si>
  <si>
    <r>
      <rPr>
        <b/>
        <sz val="10"/>
        <rFont val="Arial"/>
        <family val="2"/>
      </rPr>
      <t xml:space="preserve">Shovel/GB </t>
    </r>
    <r>
      <rPr>
        <sz val="10"/>
        <rFont val="Arial"/>
        <family val="2"/>
      </rPr>
      <t>Utilization Assumptions</t>
    </r>
  </si>
  <si>
    <t>BY09 Derived</t>
  </si>
  <si>
    <t>196 operational days per year</t>
  </si>
  <si>
    <t>SMH per year</t>
  </si>
  <si>
    <t>34 scheduled weeks per year</t>
  </si>
  <si>
    <t>Est. meter hours per year</t>
  </si>
  <si>
    <t>8.88 SMH per operational day</t>
  </si>
  <si>
    <t>Use 1600 meter hours per year for shovel/GB costs</t>
  </si>
  <si>
    <r>
      <rPr>
        <b/>
        <sz val="10"/>
        <rFont val="Arial"/>
        <family val="2"/>
      </rPr>
      <t xml:space="preserve">Cable </t>
    </r>
    <r>
      <rPr>
        <sz val="10"/>
        <rFont val="Arial"/>
        <family val="2"/>
      </rPr>
      <t>Utilization Assumptions</t>
    </r>
  </si>
  <si>
    <t>BY14-BY16 Derived</t>
  </si>
  <si>
    <t>96 operational days per year</t>
  </si>
  <si>
    <t>16 scheduled weeks per yer</t>
  </si>
  <si>
    <t>9.1 SMH per operational day</t>
  </si>
  <si>
    <t>Use 800 meter hours per year for yarder costs</t>
  </si>
  <si>
    <t>Grapple carriage</t>
  </si>
  <si>
    <t>Motorized carriage</t>
  </si>
  <si>
    <t xml:space="preserve">Use most cost efficient tow method (raft or barge) unless facility configuration does not allow options. </t>
  </si>
  <si>
    <t>Rafting</t>
  </si>
  <si>
    <t>OG &amp; YG</t>
  </si>
  <si>
    <t>Avg remove tree volume  0.125-0.450 Mbf</t>
  </si>
  <si>
    <t>Route 1</t>
  </si>
  <si>
    <t>Route 2</t>
  </si>
  <si>
    <t>Travel &amp; Lodging Cost Only</t>
  </si>
  <si>
    <t>Select type 
of export volume from list</t>
  </si>
  <si>
    <t>Choker, 3/4” x 20', ea.</t>
  </si>
  <si>
    <t>Choker, 1/2” x 20', ea.</t>
  </si>
  <si>
    <t>NC Machinery 2020</t>
  </si>
  <si>
    <t>KMC reburbished 2020</t>
  </si>
  <si>
    <t xml:space="preserve">Construction Equip Guide 2020 </t>
  </si>
  <si>
    <t>Modern Machinery 2020</t>
  </si>
  <si>
    <t>Danzco 2020</t>
  </si>
  <si>
    <t>Finning Canada 2020</t>
  </si>
  <si>
    <t>Mike Bonomo 2020</t>
  </si>
  <si>
    <t>Eagle Carriage 2020</t>
  </si>
  <si>
    <t>Log loader</t>
  </si>
  <si>
    <t>guyline EIPS</t>
  </si>
  <si>
    <t>skyline swaged</t>
  </si>
  <si>
    <t>haulback EIPS</t>
  </si>
  <si>
    <t>mainline EIPS</t>
  </si>
  <si>
    <t>strawline</t>
  </si>
  <si>
    <t>EIPS</t>
  </si>
  <si>
    <t>2 people</t>
  </si>
  <si>
    <t xml:space="preserve">Crummy+Pickup $day </t>
  </si>
  <si>
    <t>6-8 people</t>
  </si>
  <si>
    <t>Cable side</t>
  </si>
  <si>
    <t>Crummy&amp;Pickup</t>
  </si>
  <si>
    <t>Shov or GrapYdr</t>
  </si>
  <si>
    <r>
      <t xml:space="preserve">Avg </t>
    </r>
    <r>
      <rPr>
        <b/>
        <sz val="11"/>
        <rFont val="Arial"/>
        <family val="2"/>
      </rPr>
      <t>remove</t>
    </r>
    <r>
      <rPr>
        <sz val="11"/>
        <rFont val="Arial"/>
        <family val="2"/>
      </rPr>
      <t xml:space="preserve"> dbh, in.</t>
    </r>
  </si>
  <si>
    <r>
      <t xml:space="preserve">Adverse and favorable grades &amp; distances can </t>
    </r>
    <r>
      <rPr>
        <b/>
        <sz val="11"/>
        <rFont val="Arial"/>
        <family val="2"/>
      </rPr>
      <t>NOT</t>
    </r>
    <r>
      <rPr>
        <sz val="11"/>
        <rFont val="Arial"/>
        <family val="2"/>
      </rPr>
      <t xml:space="preserve"> be combined.</t>
    </r>
  </si>
  <si>
    <r>
      <t xml:space="preserve">Avg </t>
    </r>
    <r>
      <rPr>
        <b/>
        <sz val="11"/>
        <rFont val="Arial"/>
        <family val="2"/>
      </rPr>
      <t xml:space="preserve">remove </t>
    </r>
    <r>
      <rPr>
        <sz val="11"/>
        <rFont val="Arial"/>
        <family val="2"/>
      </rPr>
      <t>tree volume, net Mbf</t>
    </r>
  </si>
  <si>
    <r>
      <t xml:space="preserve">Avg </t>
    </r>
    <r>
      <rPr>
        <b/>
        <sz val="11"/>
        <rFont val="Arial"/>
        <family val="2"/>
      </rPr>
      <t>remove</t>
    </r>
    <r>
      <rPr>
        <sz val="11"/>
        <rFont val="Arial"/>
        <family val="2"/>
      </rPr>
      <t xml:space="preserve"> tree volume, net Mbf</t>
    </r>
  </si>
  <si>
    <r>
      <t xml:space="preserve">Avg </t>
    </r>
    <r>
      <rPr>
        <b/>
        <sz val="11"/>
        <rFont val="Arial"/>
        <family val="2"/>
      </rPr>
      <t>remove</t>
    </r>
    <r>
      <rPr>
        <sz val="11"/>
        <rFont val="Arial"/>
        <family val="2"/>
      </rPr>
      <t xml:space="preserve"> dbh, inches</t>
    </r>
  </si>
  <si>
    <t>Group sel. ½ – 1 ac; Strips;  Uniform thin</t>
  </si>
  <si>
    <r>
      <t xml:space="preserve">Costs are estimated for clearcut and thinning, by logging system (cable or ground-based). </t>
    </r>
    <r>
      <rPr>
        <b/>
        <sz val="11"/>
        <rFont val="Arial"/>
        <family val="2"/>
      </rPr>
      <t xml:space="preserve"> </t>
    </r>
    <r>
      <rPr>
        <b/>
        <sz val="11"/>
        <color indexed="53"/>
        <rFont val="Arial"/>
        <family val="2"/>
      </rPr>
      <t>It is essential to note these costs are applicable to ONLY the following range of sale characteristics.</t>
    </r>
  </si>
  <si>
    <r>
      <t xml:space="preserve">Avg. removed tree volume </t>
    </r>
    <r>
      <rPr>
        <b/>
        <sz val="11"/>
        <rFont val="Arial"/>
        <family val="2"/>
      </rPr>
      <t>125-450 bf</t>
    </r>
    <r>
      <rPr>
        <sz val="11"/>
        <rFont val="Arial"/>
        <family val="2"/>
      </rPr>
      <t xml:space="preserve">; avg. removed dbh </t>
    </r>
    <r>
      <rPr>
        <b/>
        <sz val="11"/>
        <rFont val="Arial"/>
        <family val="2"/>
      </rPr>
      <t>13-20 in.</t>
    </r>
    <r>
      <rPr>
        <sz val="11"/>
        <rFont val="Arial"/>
        <family val="2"/>
      </rPr>
      <t xml:space="preserve">; avg. removed vol/ac. </t>
    </r>
    <r>
      <rPr>
        <b/>
        <sz val="11"/>
        <rFont val="Arial"/>
        <family val="2"/>
      </rPr>
      <t>15-65 Mbf/ac</t>
    </r>
    <r>
      <rPr>
        <sz val="11"/>
        <rFont val="Arial"/>
        <family val="2"/>
      </rPr>
      <t>.</t>
    </r>
  </si>
  <si>
    <r>
      <t>Tree volume:</t>
    </r>
    <r>
      <rPr>
        <sz val="11"/>
        <rFont val="Arial"/>
        <family val="2"/>
      </rPr>
      <t xml:space="preserve"> average M bd ft for all</t>
    </r>
    <r>
      <rPr>
        <b/>
        <sz val="11"/>
        <rFont val="Arial"/>
        <family val="2"/>
      </rPr>
      <t xml:space="preserve"> REMOVED</t>
    </r>
    <r>
      <rPr>
        <sz val="11"/>
        <rFont val="Arial"/>
        <family val="2"/>
      </rPr>
      <t xml:space="preserve"> trees, net plus adj gross if non-sawlog material is to be yarded.  Include the volume in all trees that are to be yarded.</t>
    </r>
  </si>
  <si>
    <r>
      <t>Removed dbh:</t>
    </r>
    <r>
      <rPr>
        <sz val="11"/>
        <rFont val="Arial"/>
        <family val="2"/>
      </rPr>
      <t xml:space="preserve"> average dbh (in.) for all trees that are to be</t>
    </r>
    <r>
      <rPr>
        <b/>
        <sz val="11"/>
        <rFont val="Arial"/>
        <family val="2"/>
      </rPr>
      <t xml:space="preserve"> REMOVED</t>
    </r>
    <r>
      <rPr>
        <sz val="11"/>
        <rFont val="Arial"/>
        <family val="2"/>
      </rPr>
      <t>.</t>
    </r>
  </si>
  <si>
    <r>
      <t>Average skidding distance:</t>
    </r>
    <r>
      <rPr>
        <sz val="11"/>
        <rFont val="Arial"/>
        <family val="2"/>
      </rPr>
      <t xml:space="preserve"> ground-based thinning only, allowing for trail sinuosity, to the roadside.  Very small landings, continuous along the roadside, are assumed.</t>
    </r>
  </si>
  <si>
    <r>
      <t>Skidding grade:</t>
    </r>
    <r>
      <rPr>
        <sz val="11"/>
        <rFont val="Arial"/>
        <family val="2"/>
      </rPr>
      <t xml:space="preserve"> (ground-based thinning only): It is necessary to input average skidding grades for uphill and for downhill logging.</t>
    </r>
  </si>
  <si>
    <r>
      <t>Uphill or downhill yarding:</t>
    </r>
    <r>
      <rPr>
        <sz val="11"/>
        <rFont val="Arial"/>
        <family val="2"/>
      </rPr>
      <t xml:space="preserve"> (cable thinning only): This is done in the sense of the chordslope from the tailhold to the yarder fairlead.</t>
    </r>
  </si>
  <si>
    <r>
      <t xml:space="preserve">3. </t>
    </r>
    <r>
      <rPr>
        <b/>
        <sz val="11"/>
        <rFont val="Arial"/>
        <family val="2"/>
      </rPr>
      <t xml:space="preserve"> </t>
    </r>
    <r>
      <rPr>
        <b/>
        <sz val="11"/>
        <color indexed="53"/>
        <rFont val="Arial"/>
        <family val="2"/>
      </rPr>
      <t>Adequate cable deflection is essential.</t>
    </r>
    <r>
      <rPr>
        <sz val="11"/>
        <rFont val="Arial"/>
        <family val="2"/>
      </rPr>
      <t xml:space="preserve">  For downhill thinning, full suspension is necessary and assumed.   Otherwise hangups will occur, resulting in far higher costs. </t>
    </r>
  </si>
  <si>
    <r>
      <t xml:space="preserve">For uphill thinning, partial suspension is assumed.  </t>
    </r>
    <r>
      <rPr>
        <b/>
        <sz val="11"/>
        <rFont val="Arial"/>
        <family val="2"/>
      </rPr>
      <t xml:space="preserve"> </t>
    </r>
    <r>
      <rPr>
        <b/>
        <sz val="11"/>
        <color indexed="53"/>
        <rFont val="Arial"/>
        <family val="2"/>
      </rPr>
      <t>Estimator is not applicable where cable deflection is NOT adequate.</t>
    </r>
  </si>
  <si>
    <r>
      <rPr>
        <b/>
        <i/>
        <sz val="14"/>
        <rFont val="Arial"/>
        <family val="2"/>
      </rPr>
      <t>TONGASS  Young Growth</t>
    </r>
    <r>
      <rPr>
        <b/>
        <i/>
        <sz val="12"/>
        <rFont val="Arial"/>
        <family val="2"/>
        <charset val="1"/>
      </rPr>
      <t xml:space="preserve"> </t>
    </r>
    <r>
      <rPr>
        <i/>
        <sz val="12"/>
        <rFont val="Arial"/>
        <family val="2"/>
      </rPr>
      <t xml:space="preserve">(less than 100 years-old) </t>
    </r>
    <r>
      <rPr>
        <i/>
        <sz val="14"/>
        <rFont val="Arial"/>
        <family val="2"/>
      </rPr>
      <t xml:space="preserve"> </t>
    </r>
    <r>
      <rPr>
        <b/>
        <i/>
        <sz val="14"/>
        <rFont val="Arial"/>
        <family val="2"/>
      </rPr>
      <t>Stump-to-Truck   Cost CALCULATOR</t>
    </r>
  </si>
  <si>
    <r>
      <t>Helicopter</t>
    </r>
    <r>
      <rPr>
        <sz val="11"/>
        <rFont val="Arial"/>
        <family val="2"/>
        <charset val="1"/>
      </rPr>
      <t xml:space="preserve"> </t>
    </r>
    <r>
      <rPr>
        <b/>
        <sz val="11"/>
        <rFont val="Arial"/>
        <family val="2"/>
        <charset val="1"/>
      </rPr>
      <t>$ per Net MBF</t>
    </r>
    <r>
      <rPr>
        <sz val="11"/>
        <rFont val="Arial"/>
        <family val="2"/>
        <charset val="1"/>
      </rPr>
      <t xml:space="preserve"> (includes heli F&amp;B &amp; heli mobe)</t>
    </r>
  </si>
  <si>
    <r>
      <t xml:space="preserve">The Heli Cost Calculator </t>
    </r>
    <r>
      <rPr>
        <sz val="11"/>
        <rFont val="Arial"/>
        <family val="2"/>
        <charset val="1"/>
      </rPr>
      <t>(Excel Spreadsheet)</t>
    </r>
    <r>
      <rPr>
        <b/>
        <sz val="11"/>
        <rFont val="Arial"/>
        <family val="2"/>
        <charset val="1"/>
      </rPr>
      <t xml:space="preserve"> is located in OG Heli InputPg of RV Appraisal or FASTR </t>
    </r>
  </si>
  <si>
    <r>
      <t xml:space="preserve">Equipment Barged 
</t>
    </r>
    <r>
      <rPr>
        <sz val="11"/>
        <rFont val="Arial"/>
        <family val="2"/>
      </rPr>
      <t>Yes/No</t>
    </r>
  </si>
  <si>
    <r>
      <t>Number of Conventional Logging Systems</t>
    </r>
    <r>
      <rPr>
        <sz val="11"/>
        <rFont val="Arial"/>
        <family val="2"/>
      </rPr>
      <t xml:space="preserve"> (i.e., cable, shovel, other ground-based)</t>
    </r>
  </si>
  <si>
    <r>
      <t xml:space="preserve">Roundtrip Lowboy Distance- </t>
    </r>
    <r>
      <rPr>
        <sz val="11"/>
        <rFont val="Arial"/>
        <family val="2"/>
      </rPr>
      <t>enter roundtrip road miles from Appraisal Point to sale (including from LTF to sale)</t>
    </r>
  </si>
  <si>
    <r>
      <t xml:space="preserve">Roundtrip Barge Distance </t>
    </r>
    <r>
      <rPr>
        <sz val="11"/>
        <rFont val="Arial"/>
        <family val="2"/>
      </rPr>
      <t>from Ketchikan to sale location 
(statute miles)</t>
    </r>
  </si>
  <si>
    <r>
      <t xml:space="preserve">Export Volume 
is </t>
    </r>
    <r>
      <rPr>
        <b/>
        <sz val="11"/>
        <rFont val="Arial"/>
        <family val="2"/>
      </rPr>
      <t>OG/YG</t>
    </r>
  </si>
  <si>
    <r>
      <rPr>
        <b/>
        <sz val="11"/>
        <rFont val="Arial"/>
        <family val="2"/>
      </rPr>
      <t xml:space="preserve">Total Sale Export </t>
    </r>
    <r>
      <rPr>
        <sz val="11"/>
        <rFont val="Arial"/>
        <family val="2"/>
      </rPr>
      <t xml:space="preserve">
Net MBF</t>
    </r>
  </si>
  <si>
    <r>
      <t>Commute Round-Trip (hours)</t>
    </r>
    <r>
      <rPr>
        <b/>
        <sz val="11"/>
        <rFont val="Arial"/>
        <family val="2"/>
      </rPr>
      <t xml:space="preserve"> </t>
    </r>
  </si>
  <si>
    <r>
      <t>From Residence or lodging</t>
    </r>
    <r>
      <rPr>
        <sz val="11"/>
        <rFont val="Arial"/>
        <family val="2"/>
      </rPr>
      <t xml:space="preserve"> (in Klawock / Ketchikan) to Export Facility</t>
    </r>
  </si>
  <si>
    <r>
      <rPr>
        <b/>
        <sz val="11"/>
        <rFont val="Arial"/>
        <family val="2"/>
      </rPr>
      <t>Total Sale Export</t>
    </r>
    <r>
      <rPr>
        <sz val="11"/>
        <rFont val="Arial"/>
        <family val="2"/>
      </rPr>
      <t xml:space="preserve"> 
Net MBF</t>
    </r>
  </si>
  <si>
    <r>
      <t xml:space="preserve">Round Trip travel fare </t>
    </r>
    <r>
      <rPr>
        <b/>
        <sz val="11"/>
        <rFont val="Arial"/>
        <family val="2"/>
      </rPr>
      <t>per person</t>
    </r>
  </si>
  <si>
    <r>
      <t xml:space="preserve">Lodging cost </t>
    </r>
    <r>
      <rPr>
        <sz val="11"/>
        <rFont val="Arial"/>
        <family val="2"/>
      </rPr>
      <t>for 30-people crew</t>
    </r>
  </si>
  <si>
    <r>
      <t xml:space="preserve">Total Stevedore Cost </t>
    </r>
    <r>
      <rPr>
        <sz val="11"/>
        <rFont val="Arial"/>
        <family val="2"/>
      </rPr>
      <t>(enter in RV as "unusual cost adjustment")</t>
    </r>
  </si>
  <si>
    <r>
      <t xml:space="preserve">Travel cost </t>
    </r>
    <r>
      <rPr>
        <sz val="11"/>
        <rFont val="Arial"/>
        <family val="2"/>
      </rPr>
      <t>for             30-people crew</t>
    </r>
  </si>
  <si>
    <r>
      <t xml:space="preserve">NET MBF / day 
(OG = 750 MBF, 
</t>
    </r>
    <r>
      <rPr>
        <b/>
        <sz val="11"/>
        <color rgb="FF0066FF"/>
        <rFont val="Arial"/>
        <family val="2"/>
      </rPr>
      <t>YG = 650 MBF</t>
    </r>
    <r>
      <rPr>
        <sz val="11"/>
        <rFont val="Arial"/>
        <family val="2"/>
      </rPr>
      <t>)</t>
    </r>
  </si>
  <si>
    <t>SCENARIO 1:                        Stevedore crew commutes daily from residence to export facility</t>
  </si>
  <si>
    <r>
      <t>Sale Name:</t>
    </r>
    <r>
      <rPr>
        <sz val="11"/>
        <rFont val="Arial"/>
        <family val="2"/>
        <charset val="1"/>
      </rPr>
      <t xml:space="preserve">   </t>
    </r>
  </si>
  <si>
    <r>
      <t>Net saw MBF required removal</t>
    </r>
    <r>
      <rPr>
        <sz val="11"/>
        <rFont val="Arial"/>
        <family val="2"/>
        <charset val="1"/>
      </rPr>
      <t xml:space="preserve"> (Cruise Report UC5)</t>
    </r>
  </si>
  <si>
    <r>
      <t xml:space="preserve">Haul Miles </t>
    </r>
    <r>
      <rPr>
        <sz val="11"/>
        <rFont val="Arial"/>
        <family val="2"/>
        <charset val="1"/>
      </rPr>
      <t>(one-way)</t>
    </r>
  </si>
  <si>
    <r>
      <t>Avg. MPH</t>
    </r>
    <r>
      <rPr>
        <b/>
        <vertAlign val="superscript"/>
        <sz val="11"/>
        <rFont val="Arial"/>
        <family val="2"/>
        <charset val="1"/>
      </rPr>
      <t xml:space="preserve">  </t>
    </r>
    <r>
      <rPr>
        <sz val="11"/>
        <rFont val="Arial"/>
        <family val="2"/>
        <charset val="1"/>
      </rPr>
      <t>(round-trip)</t>
    </r>
  </si>
  <si>
    <r>
      <t xml:space="preserve"> Average Truck Haul Round-trip Time  </t>
    </r>
    <r>
      <rPr>
        <sz val="11"/>
        <rFont val="Arial"/>
        <family val="2"/>
      </rPr>
      <t xml:space="preserve"> (RTT Hours, 2 decimal)</t>
    </r>
  </si>
  <si>
    <r>
      <t xml:space="preserve">Days of Delay for </t>
    </r>
    <r>
      <rPr>
        <b/>
        <sz val="11"/>
        <color indexed="53"/>
        <rFont val="Arial"/>
        <family val="2"/>
      </rPr>
      <t>Narrows</t>
    </r>
    <r>
      <rPr>
        <b/>
        <sz val="11"/>
        <rFont val="Arial"/>
        <family val="2"/>
      </rPr>
      <t xml:space="preserve"> 
</t>
    </r>
    <r>
      <rPr>
        <sz val="11"/>
        <rFont val="Arial"/>
        <family val="2"/>
      </rPr>
      <t>(0.5 day for 1 narrow; 
1 day for 2 narrows)</t>
    </r>
  </si>
  <si>
    <r>
      <rPr>
        <b/>
        <sz val="11"/>
        <rFont val="Arial"/>
        <family val="2"/>
      </rPr>
      <t>Full Camp</t>
    </r>
    <r>
      <rPr>
        <b/>
        <sz val="11"/>
        <color indexed="10"/>
        <rFont val="Arial"/>
        <family val="2"/>
      </rPr>
      <t xml:space="preserve"> NET </t>
    </r>
    <r>
      <rPr>
        <b/>
        <sz val="11"/>
        <rFont val="Arial"/>
        <family val="2"/>
      </rPr>
      <t>MBF 
(</t>
    </r>
    <r>
      <rPr>
        <sz val="11"/>
        <rFont val="Arial"/>
        <family val="2"/>
      </rPr>
      <t>Required Removal)</t>
    </r>
  </si>
  <si>
    <r>
      <rPr>
        <b/>
        <sz val="11"/>
        <rFont val="Arial"/>
        <family val="2"/>
      </rPr>
      <t>Partial Camp</t>
    </r>
    <r>
      <rPr>
        <b/>
        <sz val="11"/>
        <color indexed="10"/>
        <rFont val="Arial"/>
        <family val="2"/>
      </rPr>
      <t xml:space="preserve"> NET </t>
    </r>
    <r>
      <rPr>
        <b/>
        <sz val="11"/>
        <rFont val="Arial"/>
        <family val="2"/>
      </rPr>
      <t>MBF (</t>
    </r>
    <r>
      <rPr>
        <sz val="11"/>
        <rFont val="Arial"/>
        <family val="2"/>
      </rPr>
      <t>Required Removal)</t>
    </r>
  </si>
  <si>
    <r>
      <t xml:space="preserve">Logging Days </t>
    </r>
    <r>
      <rPr>
        <sz val="11"/>
        <rFont val="Arial"/>
        <family val="2"/>
      </rPr>
      <t xml:space="preserve"> (includes days of downtime)</t>
    </r>
  </si>
  <si>
    <r>
      <t xml:space="preserve">Full camp- lodging with all amenities for 5+ crew members.   </t>
    </r>
    <r>
      <rPr>
        <sz val="11"/>
        <rFont val="Arial"/>
        <family val="2"/>
      </rPr>
      <t>Based on remote location or whether full camp was provided for previous timber sale in this area</t>
    </r>
  </si>
  <si>
    <r>
      <t xml:space="preserve">Full Camp Barged   </t>
    </r>
    <r>
      <rPr>
        <sz val="11"/>
        <color rgb="FFFF0000"/>
        <rFont val="Arial"/>
        <family val="2"/>
      </rPr>
      <t>Yes / No</t>
    </r>
  </si>
  <si>
    <t>YG Saw rental rate $/day</t>
  </si>
  <si>
    <t>T-Mar LC550</t>
  </si>
  <si>
    <t>Crummy Driver/Gen. Laborer  (equip+barge load/unload asst)</t>
  </si>
  <si>
    <t>Crew Cab Crummy</t>
  </si>
  <si>
    <t>Crew Cab Crummy total</t>
  </si>
  <si>
    <t>Crummy Driver/General Laborer  (Lowboy asst)</t>
  </si>
  <si>
    <t>Crummy Driver/Gen. Laborer  (equip+barge load/unload)</t>
  </si>
  <si>
    <t>For Destination</t>
  </si>
  <si>
    <t xml:space="preserve">TOTAL for Sale </t>
  </si>
  <si>
    <t>Adapted from R10 Spec Road Cost Guide Equipment &amp; Wage Rates worksheet</t>
  </si>
  <si>
    <t>Choose only one tow method for timber sale.</t>
  </si>
  <si>
    <t>Route 3</t>
  </si>
  <si>
    <t xml:space="preserve">Total Rafting Cost </t>
  </si>
  <si>
    <t>Total Barging Cost</t>
  </si>
  <si>
    <t>Is LTF Suitable 
for Large 1 MMBF Barge?</t>
  </si>
  <si>
    <t>Barging Cost $ per 
Net MBF</t>
  </si>
  <si>
    <r>
      <t>from Cells</t>
    </r>
    <r>
      <rPr>
        <b/>
        <sz val="10"/>
        <color rgb="FFFF0000"/>
        <rFont val="Arial"/>
        <family val="2"/>
      </rPr>
      <t xml:space="preserve"> C19-21; E23-25</t>
    </r>
    <r>
      <rPr>
        <sz val="10"/>
        <rFont val="Arial"/>
        <family val="2"/>
      </rPr>
      <t xml:space="preserve"> on RV InputPg1 or Cells </t>
    </r>
    <r>
      <rPr>
        <b/>
        <sz val="10"/>
        <color rgb="FFFF0000"/>
        <rFont val="Arial"/>
        <family val="2"/>
      </rPr>
      <t xml:space="preserve">C18-20; C24-26 </t>
    </r>
    <r>
      <rPr>
        <sz val="10"/>
        <rFont val="Arial"/>
        <family val="2"/>
      </rPr>
      <t>on FASTR InputPg1</t>
    </r>
  </si>
  <si>
    <t>Volume is 
calculated in 
RV "Notes" 
tab</t>
  </si>
  <si>
    <r>
      <t>from Cells</t>
    </r>
    <r>
      <rPr>
        <b/>
        <sz val="10"/>
        <color rgb="FFFF0000"/>
        <rFont val="Arial"/>
        <family val="2"/>
      </rPr>
      <t xml:space="preserve"> C20-21; E23-24</t>
    </r>
    <r>
      <rPr>
        <sz val="10"/>
        <rFont val="Arial"/>
        <family val="2"/>
      </rPr>
      <t xml:space="preserve"> on RV InputPg1 or Cells </t>
    </r>
    <r>
      <rPr>
        <b/>
        <sz val="10"/>
        <color rgb="FFFF0000"/>
        <rFont val="Arial"/>
        <family val="2"/>
      </rPr>
      <t xml:space="preserve">C19-20; C25-26 </t>
    </r>
    <r>
      <rPr>
        <sz val="10"/>
        <rFont val="Arial"/>
        <family val="2"/>
      </rPr>
      <t>on FASTR InputPg1</t>
    </r>
  </si>
  <si>
    <t>Delivery Point (e.g. KLW, KTN, Staging)</t>
  </si>
  <si>
    <t>Round-trip distance (RTD) statute mi</t>
  </si>
  <si>
    <t xml:space="preserve">Net MBF Towed for this Route
</t>
  </si>
  <si>
    <t>Net MBF Towed for this Route</t>
  </si>
  <si>
    <t>Route 4</t>
  </si>
  <si>
    <r>
      <t xml:space="preserve">Does this Route </t>
    </r>
    <r>
      <rPr>
        <b/>
        <sz val="11"/>
        <rFont val="Arial"/>
        <family val="2"/>
      </rPr>
      <t>Begin</t>
    </r>
    <r>
      <rPr>
        <sz val="11"/>
        <rFont val="Arial"/>
        <family val="2"/>
      </rPr>
      <t xml:space="preserve"> from LTF?  </t>
    </r>
  </si>
  <si>
    <t xml:space="preserve">Volume 
calculated in 
RV "Notes" </t>
  </si>
  <si>
    <t>Select type 
of export volume</t>
  </si>
  <si>
    <r>
      <t xml:space="preserve">Export Volume 
</t>
    </r>
    <r>
      <rPr>
        <b/>
        <sz val="11"/>
        <rFont val="Arial"/>
        <family val="2"/>
      </rPr>
      <t>OG/YG</t>
    </r>
  </si>
  <si>
    <r>
      <t xml:space="preserve">Commute Cost Only </t>
    </r>
    <r>
      <rPr>
        <sz val="11"/>
        <rFont val="Arial"/>
        <family val="2"/>
      </rPr>
      <t xml:space="preserve">
(Minimum roundtrip commute is 1 hour)</t>
    </r>
  </si>
  <si>
    <r>
      <t xml:space="preserve">NET MBF /day 
(OG = 750 MBF, 
</t>
    </r>
    <r>
      <rPr>
        <b/>
        <sz val="11"/>
        <color rgb="FF0066FF"/>
        <rFont val="Arial"/>
        <family val="2"/>
      </rPr>
      <t>YG = 650 MBF</t>
    </r>
    <r>
      <rPr>
        <sz val="11"/>
        <rFont val="Arial"/>
        <family val="2"/>
      </rPr>
      <t>)</t>
    </r>
  </si>
  <si>
    <t>Conventional Logging Equip Mobe Cost</t>
  </si>
  <si>
    <t>EYDs mostly &lt;1000 ft.</t>
  </si>
  <si>
    <t>Deflection &amp; payload must be adequate.   Most long corners &lt;1200 ft</t>
  </si>
  <si>
    <t>OG &amp; YG  Conventional Log Equip Mobe Cost Calculator</t>
  </si>
  <si>
    <t>Stump-to-truck costs include cut-yard-load, and overhead  (equip mobe added in RV or FASTR)</t>
  </si>
  <si>
    <t xml:space="preserve">Stump-to-truck cost, $/net Mbf; includes fell &amp; buck </t>
  </si>
  <si>
    <r>
      <t>Conv Equip move-in:</t>
    </r>
    <r>
      <rPr>
        <sz val="11"/>
        <rFont val="Arial"/>
        <family val="2"/>
        <charset val="1"/>
      </rPr>
      <t xml:space="preserve"> retrieved from 'Conv Equip Mobe'</t>
    </r>
  </si>
  <si>
    <t>e.g., construction, winter haul</t>
  </si>
  <si>
    <t xml:space="preserve">includes 0.5 hr load/unload </t>
  </si>
  <si>
    <r>
      <t>Roundtrip Barge Distance from Ketchikan</t>
    </r>
    <r>
      <rPr>
        <sz val="11"/>
        <rFont val="Arial"/>
        <family val="2"/>
      </rPr>
      <t xml:space="preserve"> </t>
    </r>
    <r>
      <rPr>
        <sz val="11"/>
        <color rgb="FFFF0000"/>
        <rFont val="Arial"/>
        <family val="2"/>
      </rPr>
      <t>statute miles</t>
    </r>
  </si>
  <si>
    <t>Crew Transportation for up to seven to Sale Location</t>
  </si>
  <si>
    <t>bvr hrly</t>
  </si>
  <si>
    <t>Note: Yellow cells are pasted values to break links to source data</t>
  </si>
  <si>
    <t>Source: Labor Rate Calculations for Engineering.xls (due Dec. each year but update data available May each year)</t>
  </si>
  <si>
    <t>2. Clearcut, cable ground, avg. removed tree volume = 0.500 Mbf, AYD 900 ft.</t>
  </si>
  <si>
    <t>Total Route(s) Towed MBF</t>
  </si>
  <si>
    <r>
      <rPr>
        <b/>
        <sz val="11"/>
        <color indexed="8"/>
        <rFont val="Times New Roman"/>
        <family val="1"/>
      </rPr>
      <t xml:space="preserve">Assumptions:  </t>
    </r>
    <r>
      <rPr>
        <sz val="11"/>
        <color indexed="8"/>
        <rFont val="Times New Roman"/>
        <family val="1"/>
      </rPr>
      <t xml:space="preserve">It will take 2 laborers 0.5 hour to load and another 0.5 hour to unload equipment for each lowboy move.  The lowboy rolling speed averages 15 MPH.  It will take 3 lowboy moves to mobilize one logging side and an additional 2 lowboy moves for each additional side.  Lowboy Roundtrip Distance (Miles) is appraiser's estimate for single lowboy move of conventional yarding equipment to new sale area.  Grader and Grader Operator will self-move to sale area at average speed of 10 MPH.  If roundtrip move distance is less than </t>
    </r>
    <r>
      <rPr>
        <b/>
        <sz val="11"/>
        <color indexed="8"/>
        <rFont val="Times New Roman"/>
        <family val="1"/>
      </rPr>
      <t>8.8 miles</t>
    </r>
    <r>
      <rPr>
        <sz val="11"/>
        <color indexed="8"/>
        <rFont val="Times New Roman"/>
        <family val="1"/>
      </rPr>
      <t xml:space="preserve"> it is assumed equipment will crawl to sale area with travel speed of 3 MPH rather than use lowboy.</t>
    </r>
  </si>
  <si>
    <r>
      <rPr>
        <b/>
        <sz val="11"/>
        <rFont val="Times New Roman"/>
        <family val="1"/>
      </rPr>
      <t xml:space="preserve">Assumptions:  </t>
    </r>
    <r>
      <rPr>
        <sz val="11"/>
        <rFont val="Times New Roman"/>
        <family val="1"/>
      </rPr>
      <t xml:space="preserve">It will cost </t>
    </r>
    <r>
      <rPr>
        <b/>
        <sz val="11"/>
        <rFont val="Times New Roman"/>
        <family val="1"/>
      </rPr>
      <t>$548/hr</t>
    </r>
    <r>
      <rPr>
        <sz val="11"/>
        <rFont val="Times New Roman"/>
        <family val="1"/>
      </rPr>
      <t xml:space="preserve"> for a tug and ramp barge including </t>
    </r>
    <r>
      <rPr>
        <b/>
        <sz val="11"/>
        <rFont val="Times New Roman"/>
        <family val="1"/>
      </rPr>
      <t>4.19 hours</t>
    </r>
    <r>
      <rPr>
        <sz val="11"/>
        <rFont val="Times New Roman"/>
        <family val="1"/>
      </rPr>
      <t xml:space="preserve"> to load+unload.  It will take</t>
    </r>
    <r>
      <rPr>
        <b/>
        <sz val="11"/>
        <rFont val="Times New Roman"/>
        <family val="1"/>
      </rPr>
      <t xml:space="preserve"> 2 barge trips</t>
    </r>
    <r>
      <rPr>
        <sz val="11"/>
        <rFont val="Times New Roman"/>
        <family val="1"/>
      </rPr>
      <t xml:space="preserve"> to move all conventional yarding and support equipment to the job site.  The barge travels </t>
    </r>
    <r>
      <rPr>
        <b/>
        <sz val="11"/>
        <rFont val="Times New Roman"/>
        <family val="1"/>
      </rPr>
      <t>7.44 MPH</t>
    </r>
    <r>
      <rPr>
        <sz val="11"/>
        <rFont val="Times New Roman"/>
        <family val="1"/>
      </rPr>
      <t xml:space="preserve"> while underway.  Average delay due to tides and weather is </t>
    </r>
    <r>
      <rPr>
        <b/>
        <sz val="11"/>
        <rFont val="Times New Roman"/>
        <family val="1"/>
      </rPr>
      <t>3.42 hours</t>
    </r>
    <r>
      <rPr>
        <sz val="11"/>
        <rFont val="Times New Roman"/>
        <family val="1"/>
      </rPr>
      <t xml:space="preserve"> per trip.  Lowboy, Log Loader, and 5th Wheel will assist with loading and unloading barge.  Barge round trip miles is appraiser's estimate for single round trip originating and ending in Ketchikan to new sale area.  Crew transportation assumes 2 hours charged time for Beaver at $1020/hr ($1020*2hrs = $2,040.00 total cost).  NOTE: Confirmed 5/29/24 Beaver Hrly rate from KTN is $1,020/hr.</t>
    </r>
  </si>
  <si>
    <t>BY23 Loaded (OT + BR) labor rates, $/hour</t>
  </si>
  <si>
    <r>
      <t xml:space="preserve">Total </t>
    </r>
    <r>
      <rPr>
        <b/>
        <sz val="11"/>
        <color indexed="10"/>
        <rFont val="Arial"/>
        <family val="2"/>
      </rPr>
      <t>NET</t>
    </r>
    <r>
      <rPr>
        <b/>
        <sz val="11"/>
        <rFont val="Arial"/>
        <family val="2"/>
      </rPr>
      <t xml:space="preserve"> MBF      </t>
    </r>
    <r>
      <rPr>
        <sz val="11"/>
        <rFont val="Arial"/>
        <family val="2"/>
      </rPr>
      <t>retrieved from  
Row 15</t>
    </r>
  </si>
  <si>
    <r>
      <t xml:space="preserve">Total Camp Days      
</t>
    </r>
    <r>
      <rPr>
        <sz val="11"/>
        <rFont val="Arial"/>
        <family val="2"/>
      </rPr>
      <t>retrieved from  
Row 15</t>
    </r>
  </si>
  <si>
    <t>Total Sale Export Volume 
divided by average volume per ship, based on export volume type, OG/YG</t>
  </si>
  <si>
    <t>Estimated stump-to-truck cost:</t>
  </si>
  <si>
    <t>Input: piece size = 0.170, tree volume = 0.202 Mbf, AYD = Under 350.</t>
  </si>
  <si>
    <t>Input: dbh = 13.9 in, tree volume = 0.168 Mbf, AYD = 600 ft, slope = -15%</t>
  </si>
  <si>
    <t>3. Uniform Thinning, 100 leave tpa, terrain suitable for skidder, mostly -10 to -20% slopes (all favorable), 13.9 in avg. removed dbh, 0.168 Mbf avg. removed tree volume, AYD 575 ft.</t>
  </si>
  <si>
    <t>Input: uphill yarding = 0, tree vol = 0.175 Mbf, take trees per acre = 225, DBH = 16.9</t>
  </si>
  <si>
    <t>4. Thinning, group select ½ ac groups, matrix not thinned, cable uphill yarding, 0.252 Mbf avg. rmvd tree vol, 225 take trees/ac within groups, 16.9 avg. removed dbh, AYD 300 ft, adequate deflection</t>
  </si>
  <si>
    <t>Avg remove dbh 10-18 in;  Avg remove tree volume 0.040-0.300 Mbf</t>
  </si>
  <si>
    <t>Applicable to Avg remove 15-65 Mbf/ac within groups;  Avg remove tree 0.040-0.300 Mbf</t>
  </si>
  <si>
    <t xml:space="preserve">Applicable to Avg remove dbh 10-18 inches.  </t>
  </si>
  <si>
    <r>
      <t xml:space="preserve">Avg. removed dbh = </t>
    </r>
    <r>
      <rPr>
        <b/>
        <sz val="11"/>
        <rFont val="Arial"/>
        <family val="2"/>
      </rPr>
      <t>10-18 in.</t>
    </r>
    <r>
      <rPr>
        <sz val="11"/>
        <rFont val="Arial"/>
        <family val="2"/>
      </rPr>
      <t xml:space="preserve">; Avg. removed tree vol = </t>
    </r>
    <r>
      <rPr>
        <b/>
        <sz val="11"/>
        <rFont val="Arial"/>
        <family val="2"/>
      </rPr>
      <t>40-300 bf</t>
    </r>
    <r>
      <rPr>
        <sz val="11"/>
        <rFont val="Arial"/>
        <family val="2"/>
      </rPr>
      <t xml:space="preserve">;  Group selection avg. remove vol/ac = </t>
    </r>
    <r>
      <rPr>
        <b/>
        <sz val="11"/>
        <rFont val="Arial"/>
        <family val="2"/>
      </rPr>
      <t>15-65 Mbf</t>
    </r>
    <r>
      <rPr>
        <sz val="11"/>
        <rFont val="Arial"/>
        <family val="2"/>
      </rPr>
      <t xml:space="preserve"> </t>
    </r>
  </si>
  <si>
    <r>
      <t xml:space="preserve">Delivery Point  </t>
    </r>
    <r>
      <rPr>
        <sz val="11"/>
        <rFont val="Arial"/>
        <family val="2"/>
      </rPr>
      <t xml:space="preserve">(e.g. KLW or KTN) </t>
    </r>
  </si>
  <si>
    <r>
      <t xml:space="preserve">Number of Rafts 
</t>
    </r>
    <r>
      <rPr>
        <b/>
        <sz val="10"/>
        <rFont val="Arial"/>
        <family val="2"/>
      </rPr>
      <t>4 rafts</t>
    </r>
    <r>
      <rPr>
        <sz val="10"/>
        <rFont val="Arial"/>
        <family val="2"/>
      </rPr>
      <t xml:space="preserve"> if RTD&gt;40 mi;   
</t>
    </r>
    <r>
      <rPr>
        <b/>
        <sz val="10"/>
        <rFont val="Arial"/>
        <family val="2"/>
      </rPr>
      <t xml:space="preserve">2 rafts </t>
    </r>
    <r>
      <rPr>
        <sz val="10"/>
        <rFont val="Arial"/>
        <family val="2"/>
      </rPr>
      <t xml:space="preserve">if RTD&lt;40 mi 
(w/o narrows); 
</t>
    </r>
    <r>
      <rPr>
        <b/>
        <sz val="10"/>
        <rFont val="Arial"/>
        <family val="2"/>
      </rPr>
      <t>1 raft</t>
    </r>
    <r>
      <rPr>
        <sz val="10"/>
        <rFont val="Arial"/>
        <family val="2"/>
      </rPr>
      <t xml:space="preserve"> if RTD&lt;40 mi 
</t>
    </r>
    <r>
      <rPr>
        <b/>
        <sz val="10"/>
        <color indexed="53"/>
        <rFont val="Arial"/>
        <family val="2"/>
      </rPr>
      <t>w/ narrows</t>
    </r>
    <r>
      <rPr>
        <sz val="10"/>
        <rFont val="Arial"/>
        <family val="2"/>
      </rPr>
      <t>)</t>
    </r>
  </si>
  <si>
    <t>If YG harvest has more than one Logsys Rx, R001 inputs should be from separate cruise processed for each Logsys Rx (e.g., YG cable clearcut only, YG cable thinning only)</t>
  </si>
  <si>
    <t>IMPORTANT:  BEFORE processing final cruise, FIRST make copies of .CRUISE file to process each YG Logsys Rx separately.  An already processed cruise file must be edited by a designated Measurement Specialist</t>
  </si>
  <si>
    <r>
      <t xml:space="preserve">Avg </t>
    </r>
    <r>
      <rPr>
        <b/>
        <sz val="11"/>
        <color indexed="10"/>
        <rFont val="Arial"/>
        <family val="2"/>
        <charset val="1"/>
      </rPr>
      <t>NET</t>
    </r>
    <r>
      <rPr>
        <b/>
        <sz val="11"/>
        <rFont val="Arial"/>
        <family val="2"/>
        <charset val="1"/>
      </rPr>
      <t xml:space="preserve"> Removed MBF per Acre 
</t>
    </r>
    <r>
      <rPr>
        <sz val="10"/>
        <rFont val="Arial"/>
        <family val="2"/>
      </rPr>
      <t>(from R001 or RV Input Pg1 cells E23:E24)</t>
    </r>
  </si>
  <si>
    <r>
      <t xml:space="preserve">Avg </t>
    </r>
    <r>
      <rPr>
        <b/>
        <sz val="11"/>
        <color indexed="10"/>
        <rFont val="Arial"/>
        <family val="2"/>
        <charset val="1"/>
      </rPr>
      <t>NET</t>
    </r>
    <r>
      <rPr>
        <b/>
        <sz val="11"/>
        <rFont val="Arial"/>
        <family val="2"/>
        <charset val="1"/>
      </rPr>
      <t xml:space="preserve"> Removed MBF per 32 ft. log 
</t>
    </r>
    <r>
      <rPr>
        <sz val="10"/>
        <rFont val="Arial"/>
        <family val="2"/>
      </rPr>
      <t>(from R001)</t>
    </r>
  </si>
  <si>
    <r>
      <t xml:space="preserve">TCNV: Total Conventional </t>
    </r>
    <r>
      <rPr>
        <b/>
        <sz val="11"/>
        <color indexed="10"/>
        <rFont val="Arial"/>
        <family val="2"/>
        <charset val="1"/>
      </rPr>
      <t>NET</t>
    </r>
    <r>
      <rPr>
        <b/>
        <sz val="11"/>
        <rFont val="Arial"/>
        <family val="2"/>
        <charset val="1"/>
      </rPr>
      <t xml:space="preserve"> MBF</t>
    </r>
    <r>
      <rPr>
        <sz val="11"/>
        <rFont val="Arial"/>
        <family val="2"/>
        <charset val="1"/>
      </rPr>
      <t xml:space="preserve"> Required Removal </t>
    </r>
    <r>
      <rPr>
        <sz val="10"/>
        <rFont val="Arial"/>
        <family val="2"/>
      </rPr>
      <t>(RV Input Pg1 cell E22)</t>
    </r>
  </si>
  <si>
    <r>
      <t>Tree-to-truck Cost $ per Net MBF removed</t>
    </r>
    <r>
      <rPr>
        <sz val="11"/>
        <rFont val="Arial"/>
        <family val="2"/>
        <charset val="1"/>
      </rPr>
      <t xml:space="preserve"> </t>
    </r>
    <r>
      <rPr>
        <sz val="10"/>
        <rFont val="Arial"/>
        <family val="2"/>
      </rPr>
      <t>(includes Fell &amp; Buck)</t>
    </r>
  </si>
  <si>
    <r>
      <t xml:space="preserve">Enter "Yes" and roundtrip miles if </t>
    </r>
    <r>
      <rPr>
        <b/>
        <sz val="11"/>
        <rFont val="Arial"/>
        <family val="2"/>
      </rPr>
      <t>Full Camp</t>
    </r>
    <r>
      <rPr>
        <sz val="11"/>
        <rFont val="Arial"/>
        <family val="2"/>
      </rPr>
      <t xml:space="preserve"> must be barged for sale:</t>
    </r>
  </si>
  <si>
    <t>Notes</t>
  </si>
  <si>
    <t>Note:  Overhead/G&amp;A is included.  Allowable cost items listed above are accounted for in R10 RV timber sale appraisal.</t>
  </si>
  <si>
    <r>
      <t xml:space="preserve">Input data source </t>
    </r>
    <r>
      <rPr>
        <sz val="11"/>
        <color rgb="FFFF0000"/>
        <rFont val="Arial"/>
        <family val="2"/>
      </rPr>
      <t>(R001 should be for YG shovel clearcut only)</t>
    </r>
  </si>
  <si>
    <r>
      <rPr>
        <b/>
        <sz val="11"/>
        <rFont val="Arial"/>
        <family val="2"/>
      </rPr>
      <t>Input data source</t>
    </r>
    <r>
      <rPr>
        <b/>
        <sz val="11"/>
        <color rgb="FFFF0000"/>
        <rFont val="Arial"/>
        <family val="2"/>
      </rPr>
      <t xml:space="preserve"> </t>
    </r>
    <r>
      <rPr>
        <sz val="11"/>
        <color rgb="FFFF0000"/>
        <rFont val="Arial"/>
        <family val="2"/>
      </rPr>
      <t>(R001 should be for YG cable clearcut only)</t>
    </r>
  </si>
  <si>
    <r>
      <t xml:space="preserve">Input data source </t>
    </r>
    <r>
      <rPr>
        <sz val="11"/>
        <color rgb="FFFF0000"/>
        <rFont val="Arial"/>
        <family val="2"/>
      </rPr>
      <t>(R001 should be for YG GB thinning only)</t>
    </r>
  </si>
  <si>
    <r>
      <t xml:space="preserve">Input data source </t>
    </r>
    <r>
      <rPr>
        <sz val="11"/>
        <color rgb="FFFF0000"/>
        <rFont val="Arial"/>
        <family val="2"/>
      </rPr>
      <t>(R001 should be for YG cable thinning only)</t>
    </r>
  </si>
  <si>
    <t>Apply as "unusual cost adjustment" for export ports outside Klawock</t>
  </si>
  <si>
    <t xml:space="preserve">SCENARIO 2:     Stevedores must travel to and lodge near export facility during shiploading </t>
  </si>
  <si>
    <t>For example, commute from Klawock to Tolstoi.</t>
  </si>
  <si>
    <t>For example, five Klawock stevedores are needed for  shiploading in Ketchikan.</t>
  </si>
  <si>
    <t>Number of air (or ferry) 
travel trips</t>
  </si>
  <si>
    <t>wpu 112 2024-2020 index increase</t>
  </si>
  <si>
    <t>BY24</t>
  </si>
  <si>
    <t>BY2024 GP</t>
  </si>
  <si>
    <t>wpu 101705 2024-2020 index increase</t>
  </si>
  <si>
    <t>$, del. KTN 2020 quotes</t>
  </si>
  <si>
    <t>2020 quotes</t>
  </si>
  <si>
    <t>BY19-24</t>
  </si>
  <si>
    <t>Madill 124 Grapple Yarder w/Eagle Mega Claw Grapple Carriage</t>
  </si>
  <si>
    <t>Diamond DS-2646 Thinning Yarder w/ Eagle Super Eaglet Motorized Carriage</t>
  </si>
  <si>
    <t>Purchase price (ydr + crge)</t>
  </si>
  <si>
    <r>
      <t>Raftgrounds Construction &amp; Storage</t>
    </r>
    <r>
      <rPr>
        <sz val="11"/>
        <color rgb="FFFF0000"/>
        <rFont val="Arial"/>
        <family val="2"/>
      </rPr>
      <t xml:space="preserve"> 
</t>
    </r>
    <r>
      <rPr>
        <sz val="11"/>
        <rFont val="Arial"/>
        <family val="2"/>
      </rPr>
      <t>$/Net MBF</t>
    </r>
  </si>
  <si>
    <r>
      <t xml:space="preserve">Rafting Cost 
$/Net MBF
</t>
    </r>
    <r>
      <rPr>
        <sz val="9"/>
        <rFont val="Arial"/>
        <family val="2"/>
      </rPr>
      <t>Incl. Raftgrounds Construction &amp; Storage</t>
    </r>
  </si>
  <si>
    <t>Developed by Dallas C. Hemphill, PE</t>
  </si>
  <si>
    <t>$179.77/MBF</t>
  </si>
  <si>
    <t>N/A</t>
  </si>
  <si>
    <t>$289.46/Mbf</t>
  </si>
  <si>
    <t>$460.72/Mbf</t>
  </si>
  <si>
    <r>
      <rPr>
        <sz val="10"/>
        <rFont val="Arial"/>
        <family val="2"/>
      </rPr>
      <t>Contact:</t>
    </r>
    <r>
      <rPr>
        <sz val="10"/>
        <color rgb="FF0000FF"/>
        <rFont val="Arial"/>
        <family val="2"/>
      </rPr>
      <t xml:space="preserve"> </t>
    </r>
    <r>
      <rPr>
        <u/>
        <sz val="10"/>
        <color indexed="12"/>
        <rFont val="Arial"/>
        <family val="2"/>
        <charset val="1"/>
      </rPr>
      <t>daniel.oleary@usda.gov</t>
    </r>
  </si>
  <si>
    <t>Total for routes begninning at LTF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</si>
</sst>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44" formatCode="_(&quot;$&quot;* #,##0.00_);_(&quot;$&quot;* \(#,##0.00\);_(&quot;$&quot;* &quot;-&quot;??_);_(@_)"/>
    <numFmt numFmtId="164" formatCode="_(* #,##0.00_);_(* \(#,##0.00\);_(* \-??_);_(@_)"/>
    <numFmt numFmtId="165" formatCode="_(\$* #,##0.00_);_(\$* \(#,##0.00\);_(\$* \-??_);_(@_)"/>
    <numFmt numFmtId="166" formatCode="\$#,##0"/>
    <numFmt numFmtId="167" formatCode="#,##0.0"/>
    <numFmt numFmtId="168" formatCode="0.0"/>
    <numFmt numFmtId="169" formatCode="\$#,##0.00"/>
    <numFmt numFmtId="170" formatCode="\$#,##0_);&quot;($&quot;#,##0\)"/>
    <numFmt numFmtId="171" formatCode="0.000"/>
    <numFmt numFmtId="172" formatCode="[$$-409]#,##0.00;[Red]\-[$$-409]#,##0.00"/>
    <numFmt numFmtId="173" formatCode="[$$-409]#,##0;[Red]\-[$$-409]#,##0"/>
    <numFmt numFmtId="174" formatCode="\$#,##0\ ;&quot;($&quot;#,##0\)"/>
    <numFmt numFmtId="175" formatCode="_(\$* #,##0_);_(\$* \(#,##0\);_(\$* \-_);_(@_)"/>
    <numFmt numFmtId="176" formatCode="&quot; $&quot;#,##0\ ;&quot; $(&quot;#,##0\);&quot; $- &quot;;@\ "/>
    <numFmt numFmtId="177" formatCode="&quot; $&quot;#,##0.00\ ;&quot; $(&quot;#,##0.00\);&quot; $-&quot;#\ ;@\ "/>
    <numFmt numFmtId="178" formatCode="&quot;$&quot;#,##0"/>
    <numFmt numFmtId="179" formatCode="&quot;$&quot;#,##0.00"/>
    <numFmt numFmtId="180" formatCode="\$#,##0.000"/>
    <numFmt numFmtId="181" formatCode="[$$-409]#,##0.000;[Red]\-[$$-409]#,##0.000"/>
    <numFmt numFmtId="182" formatCode="[$$-409]#,##0.00_);[Red]\([$$-409]#,##0.00\)"/>
  </numFmts>
  <fonts count="8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0"/>
      <name val="Mangal"/>
      <family val="2"/>
      <charset val="1"/>
    </font>
    <font>
      <sz val="10"/>
      <name val="MS Sans Serif"/>
      <family val="2"/>
      <charset val="1"/>
    </font>
    <font>
      <sz val="11"/>
      <color indexed="8"/>
      <name val="Calibri"/>
      <family val="2"/>
      <charset val="1"/>
    </font>
    <font>
      <sz val="8"/>
      <name val="Arial"/>
      <family val="2"/>
      <charset val="1"/>
    </font>
    <font>
      <b/>
      <sz val="14"/>
      <name val="Arial"/>
      <family val="2"/>
      <charset val="1"/>
    </font>
    <font>
      <sz val="9"/>
      <name val="Arial"/>
      <family val="2"/>
      <charset val="1"/>
    </font>
    <font>
      <u/>
      <sz val="10"/>
      <color indexed="12"/>
      <name val="Arial"/>
      <family val="2"/>
      <charset val="1"/>
    </font>
    <font>
      <sz val="11"/>
      <name val="Arial"/>
      <family val="2"/>
      <charset val="1"/>
    </font>
    <font>
      <b/>
      <sz val="11"/>
      <name val="Arial"/>
      <family val="2"/>
      <charset val="1"/>
    </font>
    <font>
      <b/>
      <sz val="10"/>
      <name val="Arial"/>
      <family val="2"/>
      <charset val="1"/>
    </font>
    <font>
      <b/>
      <sz val="10"/>
      <color indexed="10"/>
      <name val="Arial"/>
      <family val="2"/>
      <charset val="1"/>
    </font>
    <font>
      <b/>
      <sz val="12"/>
      <name val="Arial"/>
      <family val="2"/>
      <charset val="1"/>
    </font>
    <font>
      <sz val="10"/>
      <color indexed="12"/>
      <name val="Arial"/>
      <family val="2"/>
      <charset val="1"/>
    </font>
    <font>
      <u/>
      <sz val="9"/>
      <color indexed="12"/>
      <name val="Arial"/>
      <family val="2"/>
      <charset val="1"/>
    </font>
    <font>
      <sz val="8"/>
      <color indexed="8"/>
      <name val="Tahoma"/>
      <family val="2"/>
      <charset val="1"/>
    </font>
    <font>
      <sz val="14"/>
      <name val="Arial"/>
      <family val="2"/>
      <charset val="1"/>
    </font>
    <font>
      <b/>
      <sz val="12"/>
      <name val="Arial"/>
      <family val="2"/>
    </font>
    <font>
      <sz val="9"/>
      <name val="Arial"/>
      <family val="2"/>
    </font>
    <font>
      <b/>
      <i/>
      <sz val="12"/>
      <name val="Arial"/>
      <family val="2"/>
      <charset val="1"/>
    </font>
    <font>
      <sz val="12"/>
      <name val="Arial"/>
      <family val="2"/>
      <charset val="1"/>
    </font>
    <font>
      <b/>
      <i/>
      <sz val="10"/>
      <name val="Arial"/>
      <family val="2"/>
      <charset val="1"/>
    </font>
    <font>
      <sz val="10"/>
      <name val="Arial"/>
      <family val="2"/>
    </font>
    <font>
      <b/>
      <sz val="11"/>
      <color theme="1"/>
      <name val="Calibri"/>
      <family val="2"/>
      <scheme val="minor"/>
    </font>
    <font>
      <b/>
      <sz val="14"/>
      <name val="Arial"/>
      <family val="2"/>
    </font>
    <font>
      <u/>
      <sz val="10"/>
      <color theme="10"/>
      <name val="Arial"/>
      <family val="2"/>
    </font>
    <font>
      <b/>
      <sz val="10"/>
      <name val="Arial"/>
      <family val="2"/>
    </font>
    <font>
      <b/>
      <sz val="10"/>
      <name val="Times New Roman"/>
      <family val="1"/>
    </font>
    <font>
      <sz val="10"/>
      <name val="Times New Roman"/>
      <family val="1"/>
    </font>
    <font>
      <sz val="10"/>
      <name val="Helv"/>
    </font>
    <font>
      <sz val="10"/>
      <color indexed="8"/>
      <name val="Times New Roman"/>
      <family val="1"/>
    </font>
    <font>
      <b/>
      <sz val="10"/>
      <color indexed="8"/>
      <name val="Times New Roman"/>
      <family val="1"/>
    </font>
    <font>
      <sz val="10"/>
      <color rgb="FFFF0000"/>
      <name val="Arial"/>
      <family val="2"/>
    </font>
    <font>
      <sz val="9"/>
      <color rgb="FFFF0000"/>
      <name val="Arial"/>
      <family val="2"/>
    </font>
    <font>
      <i/>
      <sz val="12"/>
      <name val="Arial"/>
      <family val="2"/>
    </font>
    <font>
      <b/>
      <sz val="11"/>
      <name val="Calibri"/>
      <family val="2"/>
      <scheme val="minor"/>
    </font>
    <font>
      <sz val="11"/>
      <name val="Calibri"/>
      <family val="2"/>
      <scheme val="minor"/>
    </font>
    <font>
      <b/>
      <sz val="9"/>
      <color indexed="81"/>
      <name val="Tahoma"/>
      <family val="2"/>
    </font>
    <font>
      <sz val="9"/>
      <color indexed="81"/>
      <name val="Tahoma"/>
      <family val="2"/>
    </font>
    <font>
      <sz val="12"/>
      <name val="Arial"/>
      <family val="2"/>
    </font>
    <font>
      <sz val="11"/>
      <name val="Arial"/>
      <family val="2"/>
    </font>
    <font>
      <sz val="9.8000000000000007"/>
      <name val="Arial"/>
      <family val="2"/>
      <charset val="1"/>
    </font>
    <font>
      <u/>
      <sz val="9.8000000000000007"/>
      <color indexed="12"/>
      <name val="Arial"/>
      <family val="2"/>
      <charset val="1"/>
    </font>
    <font>
      <b/>
      <sz val="10"/>
      <color rgb="FFFF0000"/>
      <name val="Arial"/>
      <family val="2"/>
    </font>
    <font>
      <b/>
      <sz val="11"/>
      <name val="Arial"/>
      <family val="2"/>
    </font>
    <font>
      <sz val="11"/>
      <color theme="1"/>
      <name val="Times New Roman"/>
      <family val="1"/>
    </font>
    <font>
      <sz val="10"/>
      <color theme="1"/>
      <name val="Times New Roman"/>
      <family val="1"/>
    </font>
    <font>
      <b/>
      <sz val="11"/>
      <color theme="1"/>
      <name val="Times New Roman"/>
      <family val="1"/>
    </font>
    <font>
      <b/>
      <sz val="11"/>
      <name val="Times New Roman"/>
      <family val="1"/>
    </font>
    <font>
      <sz val="8"/>
      <name val="Arial"/>
      <family val="2"/>
    </font>
    <font>
      <sz val="8"/>
      <color indexed="81"/>
      <name val="Tahoma"/>
      <family val="2"/>
    </font>
    <font>
      <sz val="11"/>
      <color indexed="10"/>
      <name val="Arial"/>
      <family val="2"/>
      <charset val="1"/>
    </font>
    <font>
      <b/>
      <sz val="11"/>
      <color indexed="10"/>
      <name val="Arial"/>
      <family val="2"/>
      <charset val="1"/>
    </font>
    <font>
      <sz val="11"/>
      <color rgb="FFFF0000"/>
      <name val="Arial"/>
      <family val="2"/>
    </font>
    <font>
      <b/>
      <sz val="11"/>
      <color rgb="FFFF0000"/>
      <name val="Arial"/>
      <family val="2"/>
    </font>
    <font>
      <b/>
      <i/>
      <sz val="11"/>
      <name val="Arial"/>
      <family val="2"/>
    </font>
    <font>
      <i/>
      <sz val="11"/>
      <name val="Arial"/>
      <family val="2"/>
    </font>
    <font>
      <sz val="11"/>
      <color indexed="12"/>
      <name val="Arial"/>
      <family val="2"/>
    </font>
    <font>
      <i/>
      <sz val="11"/>
      <color indexed="30"/>
      <name val="Arial"/>
      <family val="2"/>
    </font>
    <font>
      <i/>
      <sz val="11"/>
      <color indexed="48"/>
      <name val="Arial"/>
      <family val="2"/>
    </font>
    <font>
      <b/>
      <i/>
      <sz val="11"/>
      <color indexed="48"/>
      <name val="Arial"/>
      <family val="2"/>
    </font>
    <font>
      <b/>
      <sz val="11"/>
      <color indexed="53"/>
      <name val="Arial"/>
      <family val="2"/>
    </font>
    <font>
      <b/>
      <i/>
      <sz val="12"/>
      <name val="Arial"/>
      <family val="2"/>
    </font>
    <font>
      <b/>
      <i/>
      <sz val="14"/>
      <name val="Arial"/>
      <family val="2"/>
    </font>
    <font>
      <i/>
      <sz val="14"/>
      <name val="Arial"/>
      <family val="2"/>
    </font>
    <font>
      <b/>
      <sz val="11"/>
      <name val="MS Sans Serif"/>
      <family val="2"/>
      <charset val="1"/>
    </font>
    <font>
      <b/>
      <sz val="11"/>
      <color rgb="FF0066FF"/>
      <name val="Arial"/>
      <family val="2"/>
    </font>
    <font>
      <b/>
      <vertAlign val="superscript"/>
      <sz val="11"/>
      <name val="Arial"/>
      <family val="2"/>
      <charset val="1"/>
    </font>
    <font>
      <b/>
      <sz val="11"/>
      <color indexed="10"/>
      <name val="Arial"/>
      <family val="2"/>
    </font>
    <font>
      <sz val="11"/>
      <color indexed="8"/>
      <name val="Arial"/>
      <family val="2"/>
    </font>
    <font>
      <sz val="11"/>
      <color indexed="8"/>
      <name val="Times New Roman"/>
      <family val="1"/>
    </font>
    <font>
      <sz val="11"/>
      <name val="Times New Roman"/>
      <family val="1"/>
    </font>
    <font>
      <b/>
      <sz val="11"/>
      <color indexed="8"/>
      <name val="Times New Roman"/>
      <family val="1"/>
    </font>
    <font>
      <b/>
      <sz val="10"/>
      <color indexed="53"/>
      <name val="Arial"/>
      <family val="2"/>
    </font>
    <font>
      <sz val="10"/>
      <color rgb="FF0000FF"/>
      <name val="Arial"/>
      <family val="2"/>
    </font>
    <font>
      <u/>
      <sz val="10"/>
      <color indexed="12"/>
      <name val="Arial"/>
      <family val="2"/>
    </font>
  </fonts>
  <fills count="29">
    <fill>
      <patternFill patternType="none"/>
    </fill>
    <fill>
      <patternFill patternType="gray125"/>
    </fill>
    <fill>
      <patternFill patternType="solid">
        <fgColor indexed="42"/>
        <bgColor indexed="27"/>
      </patternFill>
    </fill>
    <fill>
      <patternFill patternType="solid">
        <fgColor indexed="31"/>
        <bgColor indexed="9"/>
      </patternFill>
    </fill>
    <fill>
      <patternFill patternType="solid">
        <fgColor indexed="47"/>
        <bgColor indexed="9"/>
      </patternFill>
    </fill>
    <fill>
      <patternFill patternType="solid">
        <fgColor indexed="27"/>
        <bgColor indexed="41"/>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14996795556505021"/>
        <bgColor indexed="64"/>
      </patternFill>
    </fill>
    <fill>
      <patternFill patternType="solid">
        <fgColor rgb="FFCCFF99"/>
        <bgColor indexed="27"/>
      </patternFill>
    </fill>
    <fill>
      <patternFill patternType="solid">
        <fgColor rgb="FFFFFF99"/>
        <bgColor indexed="31"/>
      </patternFill>
    </fill>
    <fill>
      <patternFill patternType="solid">
        <fgColor rgb="FFFFCCFF"/>
        <bgColor indexed="41"/>
      </patternFill>
    </fill>
    <fill>
      <patternFill patternType="solid">
        <fgColor rgb="FFFFCC66"/>
        <bgColor indexed="9"/>
      </patternFill>
    </fill>
    <fill>
      <patternFill patternType="solid">
        <fgColor rgb="FFFFFFFF"/>
        <bgColor indexed="43"/>
      </patternFill>
    </fill>
    <fill>
      <patternFill patternType="solid">
        <fgColor rgb="FFCCFF99"/>
        <bgColor indexed="34"/>
      </patternFill>
    </fill>
    <fill>
      <patternFill patternType="solid">
        <fgColor rgb="FFFFFF99"/>
        <bgColor indexed="43"/>
      </patternFill>
    </fill>
    <fill>
      <patternFill patternType="solid">
        <fgColor theme="2"/>
        <bgColor indexed="9"/>
      </patternFill>
    </fill>
    <fill>
      <patternFill patternType="solid">
        <fgColor theme="0" tint="-0.14999847407452621"/>
        <bgColor indexed="27"/>
      </patternFill>
    </fill>
    <fill>
      <patternFill patternType="solid">
        <fgColor theme="0" tint="-0.14999847407452621"/>
        <bgColor indexed="9"/>
      </patternFill>
    </fill>
    <fill>
      <patternFill patternType="solid">
        <fgColor rgb="FFFFCCFF"/>
        <bgColor indexed="64"/>
      </patternFill>
    </fill>
    <fill>
      <patternFill patternType="solid">
        <fgColor rgb="FFFFFF99"/>
        <bgColor indexed="64"/>
      </patternFill>
    </fill>
    <fill>
      <patternFill patternType="solid">
        <fgColor rgb="FFCCFFCC"/>
        <bgColor indexed="27"/>
      </patternFill>
    </fill>
    <fill>
      <patternFill patternType="solid">
        <fgColor rgb="FFCCFFCC"/>
        <bgColor indexed="9"/>
      </patternFill>
    </fill>
    <fill>
      <patternFill patternType="solid">
        <fgColor rgb="FFFFCC66"/>
        <bgColor indexed="27"/>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9"/>
      </patternFill>
    </fill>
    <fill>
      <patternFill patternType="solid">
        <fgColor theme="0" tint="-0.14996795556505021"/>
        <bgColor indexed="9"/>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medium">
        <color indexed="8"/>
      </left>
      <right/>
      <top style="medium">
        <color indexed="8"/>
      </top>
      <bottom/>
      <diagonal/>
    </border>
    <border>
      <left style="medium">
        <color indexed="8"/>
      </left>
      <right/>
      <top/>
      <bottom/>
      <diagonal/>
    </border>
    <border>
      <left style="thin">
        <color indexed="8"/>
      </left>
      <right style="thin">
        <color indexed="8"/>
      </right>
      <top/>
      <bottom style="thin">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style="hair">
        <color indexed="8"/>
      </right>
      <top style="hair">
        <color indexed="8"/>
      </top>
      <bottom/>
      <diagonal/>
    </border>
    <border>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style="hair">
        <color indexed="8"/>
      </left>
      <right style="hair">
        <color indexed="8"/>
      </right>
      <top/>
      <bottom/>
      <diagonal/>
    </border>
    <border>
      <left/>
      <right/>
      <top/>
      <bottom style="hair">
        <color indexed="8"/>
      </bottom>
      <diagonal/>
    </border>
    <border>
      <left style="hair">
        <color indexed="8"/>
      </left>
      <right style="hair">
        <color indexed="8"/>
      </right>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diagonal/>
    </border>
    <border>
      <left style="hair">
        <color indexed="8"/>
      </left>
      <right style="thin">
        <color indexed="64"/>
      </right>
      <top style="hair">
        <color indexed="8"/>
      </top>
      <bottom style="hair">
        <color indexed="8"/>
      </bottom>
      <diagonal/>
    </border>
    <border>
      <left style="thin">
        <color indexed="8"/>
      </left>
      <right/>
      <top style="thin">
        <color indexed="8"/>
      </top>
      <bottom/>
      <diagonal/>
    </border>
    <border>
      <left style="thin">
        <color indexed="64"/>
      </left>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2">
    <xf numFmtId="0" fontId="0" fillId="0" borderId="0"/>
    <xf numFmtId="164" fontId="27" fillId="0" borderId="0" applyFill="0" applyBorder="0" applyAlignment="0" applyProtection="0"/>
    <xf numFmtId="165" fontId="5" fillId="0" borderId="0" applyFill="0" applyBorder="0" applyAlignment="0" applyProtection="0"/>
    <xf numFmtId="0" fontId="12" fillId="0" borderId="0" applyNumberFormat="0" applyFill="0" applyBorder="0" applyAlignment="0" applyProtection="0"/>
    <xf numFmtId="164" fontId="27" fillId="0" borderId="0" applyFill="0" applyBorder="0" applyAlignment="0" applyProtection="0"/>
    <xf numFmtId="0" fontId="5" fillId="0" borderId="0"/>
    <xf numFmtId="0" fontId="5" fillId="0" borderId="0"/>
    <xf numFmtId="164" fontId="27" fillId="0" borderId="0" applyFill="0" applyBorder="0" applyAlignment="0" applyProtection="0"/>
    <xf numFmtId="0" fontId="5" fillId="0" borderId="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0" fontId="6" fillId="0" borderId="0" applyNumberFormat="0" applyFill="0" applyBorder="0" applyAlignment="0" applyProtection="0"/>
    <xf numFmtId="165" fontId="27" fillId="0" borderId="0" applyFill="0" applyBorder="0" applyAlignment="0" applyProtection="0"/>
    <xf numFmtId="165" fontId="27" fillId="0" borderId="0" applyFill="0" applyBorder="0" applyAlignment="0" applyProtection="0"/>
    <xf numFmtId="165" fontId="27" fillId="0" borderId="0" applyFill="0" applyBorder="0" applyAlignment="0" applyProtection="0"/>
    <xf numFmtId="165" fontId="27" fillId="0" borderId="0" applyFill="0" applyBorder="0" applyAlignment="0" applyProtection="0"/>
    <xf numFmtId="165" fontId="27" fillId="0" borderId="0" applyFill="0" applyBorder="0" applyAlignment="0" applyProtection="0"/>
    <xf numFmtId="165" fontId="27" fillId="0" borderId="0" applyFill="0" applyBorder="0" applyAlignment="0" applyProtection="0"/>
    <xf numFmtId="0" fontId="7" fillId="0" borderId="0"/>
    <xf numFmtId="0" fontId="8" fillId="0" borderId="0"/>
    <xf numFmtId="0" fontId="8" fillId="0" borderId="0"/>
    <xf numFmtId="0" fontId="7" fillId="0" borderId="0"/>
    <xf numFmtId="0" fontId="5" fillId="0" borderId="0"/>
    <xf numFmtId="0" fontId="7" fillId="0" borderId="0"/>
    <xf numFmtId="0" fontId="5" fillId="0" borderId="0"/>
    <xf numFmtId="0" fontId="8" fillId="0" borderId="0"/>
    <xf numFmtId="0" fontId="8" fillId="0" borderId="0"/>
    <xf numFmtId="0" fontId="8" fillId="0" borderId="0"/>
    <xf numFmtId="0" fontId="8" fillId="0" borderId="0"/>
    <xf numFmtId="0" fontId="7" fillId="0" borderId="0"/>
    <xf numFmtId="0" fontId="9" fillId="0" borderId="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5" fillId="0" borderId="0"/>
    <xf numFmtId="0" fontId="30" fillId="0" borderId="0" applyNumberFormat="0" applyFill="0" applyBorder="0" applyAlignment="0" applyProtection="0">
      <alignment vertical="top"/>
      <protection locked="0"/>
    </xf>
    <xf numFmtId="0" fontId="4" fillId="0" borderId="0"/>
    <xf numFmtId="9" fontId="27" fillId="0" borderId="0" applyFont="0" applyFill="0" applyBorder="0" applyAlignment="0" applyProtection="0"/>
    <xf numFmtId="0" fontId="34" fillId="0" borderId="0"/>
    <xf numFmtId="0" fontId="27" fillId="0" borderId="0"/>
    <xf numFmtId="0" fontId="12" fillId="0" borderId="0" applyNumberFormat="0" applyFill="0" applyBorder="0" applyAlignment="0" applyProtection="0"/>
    <xf numFmtId="0" fontId="9" fillId="0" borderId="0"/>
    <xf numFmtId="165" fontId="5" fillId="0" borderId="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33" fillId="0" borderId="0" applyFont="0"/>
  </cellStyleXfs>
  <cellXfs count="485">
    <xf numFmtId="0" fontId="0" fillId="0" borderId="0" xfId="0"/>
    <xf numFmtId="0" fontId="15" fillId="0" borderId="0" xfId="0" applyFont="1"/>
    <xf numFmtId="0" fontId="0" fillId="0" borderId="0" xfId="0" applyProtection="1">
      <protection hidden="1"/>
    </xf>
    <xf numFmtId="0" fontId="10" fillId="0" borderId="0" xfId="0" applyFont="1" applyProtection="1">
      <protection hidden="1"/>
    </xf>
    <xf numFmtId="0" fontId="12" fillId="0" borderId="0" xfId="3" applyNumberFormat="1" applyFill="1" applyBorder="1" applyAlignment="1" applyProtection="1">
      <protection hidden="1"/>
    </xf>
    <xf numFmtId="0" fontId="11" fillId="0" borderId="0" xfId="0" applyFont="1" applyProtection="1">
      <protection hidden="1"/>
    </xf>
    <xf numFmtId="170" fontId="0" fillId="0" borderId="0" xfId="0" applyNumberFormat="1" applyProtection="1">
      <protection hidden="1"/>
    </xf>
    <xf numFmtId="166" fontId="0" fillId="0" borderId="0" xfId="0" applyNumberFormat="1" applyProtection="1">
      <protection hidden="1"/>
    </xf>
    <xf numFmtId="0" fontId="0" fillId="0" borderId="0" xfId="0" applyAlignment="1" applyProtection="1">
      <alignment horizontal="center"/>
      <protection hidden="1"/>
    </xf>
    <xf numFmtId="0" fontId="0" fillId="0" borderId="19" xfId="0" applyBorder="1"/>
    <xf numFmtId="0" fontId="26" fillId="0" borderId="0" xfId="0" applyFont="1"/>
    <xf numFmtId="0" fontId="15" fillId="0" borderId="0" xfId="0" applyFont="1" applyProtection="1">
      <protection hidden="1"/>
    </xf>
    <xf numFmtId="0" fontId="5" fillId="4" borderId="0" xfId="0" applyFont="1" applyFill="1" applyProtection="1">
      <protection hidden="1"/>
    </xf>
    <xf numFmtId="170" fontId="0" fillId="0" borderId="19" xfId="0" applyNumberFormat="1" applyBorder="1" applyAlignment="1" applyProtection="1">
      <alignment horizontal="left"/>
      <protection hidden="1"/>
    </xf>
    <xf numFmtId="173" fontId="0" fillId="0" borderId="19" xfId="0" applyNumberFormat="1" applyBorder="1" applyProtection="1">
      <protection hidden="1"/>
    </xf>
    <xf numFmtId="0" fontId="0" fillId="0" borderId="19" xfId="0" applyBorder="1" applyAlignment="1" applyProtection="1">
      <alignment horizontal="left"/>
      <protection hidden="1"/>
    </xf>
    <xf numFmtId="174" fontId="0" fillId="0" borderId="19" xfId="0" applyNumberFormat="1" applyBorder="1" applyAlignment="1" applyProtection="1">
      <alignment horizontal="left"/>
      <protection hidden="1"/>
    </xf>
    <xf numFmtId="0" fontId="0" fillId="0" borderId="19" xfId="0" applyBorder="1" applyProtection="1">
      <protection hidden="1"/>
    </xf>
    <xf numFmtId="0" fontId="0" fillId="0" borderId="0" xfId="0" applyAlignment="1" applyProtection="1">
      <alignment horizontal="left"/>
      <protection hidden="1"/>
    </xf>
    <xf numFmtId="175" fontId="0" fillId="0" borderId="0" xfId="0" applyNumberFormat="1" applyProtection="1">
      <protection hidden="1"/>
    </xf>
    <xf numFmtId="176" fontId="0" fillId="0" borderId="0" xfId="0" applyNumberFormat="1" applyProtection="1">
      <protection hidden="1"/>
    </xf>
    <xf numFmtId="165" fontId="0" fillId="0" borderId="19" xfId="0" applyNumberFormat="1" applyBorder="1" applyProtection="1">
      <protection hidden="1"/>
    </xf>
    <xf numFmtId="165" fontId="0" fillId="0" borderId="0" xfId="0" applyNumberFormat="1" applyProtection="1">
      <protection hidden="1"/>
    </xf>
    <xf numFmtId="165" fontId="15" fillId="0" borderId="19" xfId="0" applyNumberFormat="1" applyFont="1" applyBorder="1" applyProtection="1">
      <protection hidden="1"/>
    </xf>
    <xf numFmtId="170" fontId="0" fillId="0" borderId="19" xfId="0" applyNumberFormat="1" applyBorder="1" applyAlignment="1">
      <alignment horizontal="left"/>
    </xf>
    <xf numFmtId="0" fontId="0" fillId="0" borderId="19" xfId="0" applyBorder="1" applyAlignment="1">
      <alignment horizontal="left"/>
    </xf>
    <xf numFmtId="0" fontId="0" fillId="0" borderId="0" xfId="0" applyAlignment="1">
      <alignment horizontal="left"/>
    </xf>
    <xf numFmtId="175" fontId="0" fillId="0" borderId="19" xfId="0" applyNumberFormat="1" applyBorder="1"/>
    <xf numFmtId="0" fontId="5" fillId="0" borderId="19" xfId="0" applyFont="1" applyBorder="1"/>
    <xf numFmtId="175" fontId="0" fillId="0" borderId="0" xfId="0" applyNumberFormat="1"/>
    <xf numFmtId="0" fontId="5" fillId="0" borderId="0" xfId="0" applyFont="1"/>
    <xf numFmtId="165" fontId="0" fillId="0" borderId="19" xfId="0" applyNumberFormat="1" applyBorder="1"/>
    <xf numFmtId="165" fontId="0" fillId="0" borderId="0" xfId="0" applyNumberFormat="1"/>
    <xf numFmtId="165" fontId="15" fillId="0" borderId="19" xfId="0" applyNumberFormat="1" applyFont="1" applyBorder="1"/>
    <xf numFmtId="172" fontId="0" fillId="0" borderId="19" xfId="0" applyNumberFormat="1" applyBorder="1"/>
    <xf numFmtId="165" fontId="15" fillId="0" borderId="0" xfId="2" applyFont="1" applyFill="1" applyBorder="1" applyAlignment="1" applyProtection="1"/>
    <xf numFmtId="177" fontId="0" fillId="0" borderId="19" xfId="0" applyNumberFormat="1" applyBorder="1"/>
    <xf numFmtId="176" fontId="0" fillId="0" borderId="19" xfId="0" applyNumberFormat="1" applyBorder="1"/>
    <xf numFmtId="0" fontId="29" fillId="0" borderId="0" xfId="0" applyFont="1" applyProtection="1">
      <protection hidden="1"/>
    </xf>
    <xf numFmtId="0" fontId="22" fillId="0" borderId="0" xfId="0" applyFont="1" applyProtection="1">
      <protection hidden="1"/>
    </xf>
    <xf numFmtId="14" fontId="0" fillId="0" borderId="0" xfId="0" applyNumberFormat="1" applyAlignment="1" applyProtection="1">
      <alignment horizontal="center"/>
      <protection hidden="1"/>
    </xf>
    <xf numFmtId="0" fontId="4" fillId="0" borderId="0" xfId="41" applyProtection="1">
      <protection hidden="1"/>
    </xf>
    <xf numFmtId="179" fontId="0" fillId="0" borderId="0" xfId="0" applyNumberFormat="1" applyProtection="1">
      <protection hidden="1"/>
    </xf>
    <xf numFmtId="0" fontId="4" fillId="0" borderId="0" xfId="41"/>
    <xf numFmtId="0" fontId="33" fillId="0" borderId="0" xfId="43" applyFont="1"/>
    <xf numFmtId="11" fontId="33" fillId="0" borderId="0" xfId="43" applyNumberFormat="1" applyFont="1"/>
    <xf numFmtId="7" fontId="33" fillId="0" borderId="0" xfId="43" applyNumberFormat="1" applyFont="1"/>
    <xf numFmtId="0" fontId="10" fillId="0" borderId="6" xfId="0" applyFont="1" applyBorder="1" applyProtection="1">
      <protection hidden="1"/>
    </xf>
    <xf numFmtId="0" fontId="5" fillId="0" borderId="0" xfId="0" applyFont="1" applyProtection="1">
      <protection hidden="1"/>
    </xf>
    <xf numFmtId="15" fontId="0" fillId="0" borderId="0" xfId="0" applyNumberFormat="1" applyAlignment="1" applyProtection="1">
      <alignment horizontal="center"/>
      <protection hidden="1"/>
    </xf>
    <xf numFmtId="0" fontId="18" fillId="0" borderId="0" xfId="0" applyFont="1" applyAlignment="1" applyProtection="1">
      <alignment horizontal="center"/>
      <protection hidden="1"/>
    </xf>
    <xf numFmtId="168" fontId="0" fillId="0" borderId="0" xfId="0" applyNumberFormat="1" applyAlignment="1" applyProtection="1">
      <alignment horizontal="center"/>
      <protection hidden="1"/>
    </xf>
    <xf numFmtId="0" fontId="15" fillId="0" borderId="0" xfId="0" applyFont="1" applyAlignment="1" applyProtection="1">
      <alignment horizontal="center"/>
      <protection hidden="1"/>
    </xf>
    <xf numFmtId="0" fontId="17" fillId="0" borderId="0" xfId="0" applyFont="1" applyProtection="1">
      <protection hidden="1"/>
    </xf>
    <xf numFmtId="0" fontId="19" fillId="0" borderId="0" xfId="3" applyNumberFormat="1" applyFont="1" applyFill="1" applyBorder="1" applyAlignment="1" applyProtection="1">
      <protection hidden="1"/>
    </xf>
    <xf numFmtId="0" fontId="17" fillId="0" borderId="0" xfId="39" applyFont="1" applyProtection="1">
      <protection hidden="1"/>
    </xf>
    <xf numFmtId="0" fontId="26" fillId="0" borderId="0" xfId="39" applyFont="1" applyProtection="1">
      <protection hidden="1"/>
    </xf>
    <xf numFmtId="0" fontId="5" fillId="0" borderId="0" xfId="39" applyProtection="1">
      <protection hidden="1"/>
    </xf>
    <xf numFmtId="0" fontId="11" fillId="0" borderId="0" xfId="39" applyFont="1" applyAlignment="1" applyProtection="1">
      <alignment horizontal="left"/>
      <protection hidden="1"/>
    </xf>
    <xf numFmtId="0" fontId="16" fillId="0" borderId="0" xfId="39" applyFont="1" applyProtection="1">
      <protection hidden="1"/>
    </xf>
    <xf numFmtId="0" fontId="18" fillId="0" borderId="0" xfId="39" applyFont="1" applyProtection="1">
      <protection hidden="1"/>
    </xf>
    <xf numFmtId="0" fontId="15" fillId="0" borderId="9" xfId="39" applyFont="1" applyBorder="1" applyProtection="1">
      <protection hidden="1"/>
    </xf>
    <xf numFmtId="0" fontId="11" fillId="0" borderId="0" xfId="39" applyFont="1" applyProtection="1">
      <protection hidden="1"/>
    </xf>
    <xf numFmtId="170" fontId="37" fillId="0" borderId="0" xfId="0" applyNumberFormat="1" applyFont="1" applyAlignment="1" applyProtection="1">
      <alignment horizontal="left"/>
      <protection hidden="1"/>
    </xf>
    <xf numFmtId="0" fontId="38" fillId="0" borderId="0" xfId="0" applyFont="1" applyProtection="1">
      <protection hidden="1"/>
    </xf>
    <xf numFmtId="0" fontId="5" fillId="11" borderId="1" xfId="39" applyFill="1" applyBorder="1" applyProtection="1">
      <protection hidden="1"/>
    </xf>
    <xf numFmtId="0" fontId="5" fillId="12" borderId="1" xfId="39" applyFill="1" applyBorder="1" applyProtection="1">
      <protection hidden="1"/>
    </xf>
    <xf numFmtId="180" fontId="0" fillId="0" borderId="19" xfId="0" applyNumberFormat="1" applyBorder="1" applyAlignment="1" applyProtection="1">
      <alignment horizontal="left"/>
      <protection hidden="1"/>
    </xf>
    <xf numFmtId="180" fontId="0" fillId="0" borderId="19" xfId="0" applyNumberFormat="1" applyBorder="1" applyAlignment="1">
      <alignment horizontal="left"/>
    </xf>
    <xf numFmtId="0" fontId="31" fillId="0" borderId="0" xfId="0" applyFont="1"/>
    <xf numFmtId="14" fontId="0" fillId="0" borderId="0" xfId="0" applyNumberFormat="1"/>
    <xf numFmtId="0" fontId="35" fillId="0" borderId="0" xfId="43" applyFont="1" applyAlignment="1">
      <alignment horizontal="left" wrapText="1"/>
    </xf>
    <xf numFmtId="0" fontId="33" fillId="0" borderId="0" xfId="43" applyFont="1" applyAlignment="1">
      <alignment horizontal="left" wrapText="1"/>
    </xf>
    <xf numFmtId="178" fontId="44" fillId="9" borderId="24" xfId="41" applyNumberFormat="1" applyFont="1" applyFill="1" applyBorder="1" applyAlignment="1" applyProtection="1">
      <alignment horizontal="center"/>
      <protection hidden="1"/>
    </xf>
    <xf numFmtId="0" fontId="33" fillId="0" borderId="0" xfId="43" applyFont="1" applyAlignment="1">
      <alignment vertical="center" wrapText="1"/>
    </xf>
    <xf numFmtId="0" fontId="35" fillId="0" borderId="24" xfId="43" applyFont="1" applyBorder="1" applyAlignment="1">
      <alignment horizontal="center" wrapText="1"/>
    </xf>
    <xf numFmtId="0" fontId="33" fillId="0" borderId="24" xfId="43" applyFont="1" applyBorder="1" applyAlignment="1">
      <alignment horizontal="center" wrapText="1"/>
    </xf>
    <xf numFmtId="0" fontId="36" fillId="0" borderId="24" xfId="43" applyFont="1" applyBorder="1" applyAlignment="1">
      <alignment horizontal="left" wrapText="1"/>
    </xf>
    <xf numFmtId="178" fontId="29" fillId="9" borderId="36" xfId="41" applyNumberFormat="1" applyFont="1" applyFill="1" applyBorder="1" applyAlignment="1" applyProtection="1">
      <alignment horizontal="center"/>
      <protection hidden="1"/>
    </xf>
    <xf numFmtId="0" fontId="10" fillId="0" borderId="0" xfId="44" applyFont="1" applyProtection="1">
      <protection hidden="1"/>
    </xf>
    <xf numFmtId="0" fontId="27" fillId="0" borderId="0" xfId="44" applyProtection="1">
      <protection hidden="1"/>
    </xf>
    <xf numFmtId="14" fontId="5" fillId="0" borderId="0" xfId="44" applyNumberFormat="1" applyFont="1" applyAlignment="1" applyProtection="1">
      <alignment horizontal="center"/>
      <protection hidden="1"/>
    </xf>
    <xf numFmtId="0" fontId="5" fillId="0" borderId="0" xfId="44" applyFont="1" applyProtection="1">
      <protection hidden="1"/>
    </xf>
    <xf numFmtId="0" fontId="13" fillId="0" borderId="0" xfId="44" applyFont="1" applyProtection="1">
      <protection hidden="1"/>
    </xf>
    <xf numFmtId="0" fontId="31" fillId="0" borderId="0" xfId="44" applyFont="1" applyAlignment="1" applyProtection="1">
      <alignment horizontal="center"/>
      <protection hidden="1"/>
    </xf>
    <xf numFmtId="0" fontId="27" fillId="0" borderId="24" xfId="44" applyBorder="1" applyProtection="1">
      <protection hidden="1"/>
    </xf>
    <xf numFmtId="1" fontId="45" fillId="0" borderId="0" xfId="44" applyNumberFormat="1" applyFont="1" applyAlignment="1" applyProtection="1">
      <alignment horizontal="center"/>
      <protection hidden="1"/>
    </xf>
    <xf numFmtId="0" fontId="27" fillId="0" borderId="24" xfId="44" applyBorder="1" applyAlignment="1" applyProtection="1">
      <alignment horizontal="left"/>
      <protection hidden="1"/>
    </xf>
    <xf numFmtId="9" fontId="45" fillId="0" borderId="0" xfId="49" applyFont="1" applyAlignment="1" applyProtection="1">
      <alignment horizontal="center"/>
      <protection hidden="1"/>
    </xf>
    <xf numFmtId="0" fontId="27" fillId="0" borderId="24" xfId="44" applyBorder="1" applyAlignment="1" applyProtection="1">
      <alignment horizontal="center"/>
      <protection hidden="1"/>
    </xf>
    <xf numFmtId="168" fontId="45" fillId="0" borderId="0" xfId="44" applyNumberFormat="1" applyFont="1" applyAlignment="1" applyProtection="1">
      <alignment horizontal="center"/>
      <protection hidden="1"/>
    </xf>
    <xf numFmtId="179" fontId="45" fillId="0" borderId="0" xfId="48" applyNumberFormat="1" applyFont="1" applyAlignment="1" applyProtection="1">
      <alignment horizontal="center"/>
      <protection hidden="1"/>
    </xf>
    <xf numFmtId="0" fontId="27" fillId="0" borderId="27" xfId="44" applyBorder="1" applyProtection="1">
      <protection hidden="1"/>
    </xf>
    <xf numFmtId="179" fontId="45" fillId="0" borderId="27" xfId="44" applyNumberFormat="1" applyFont="1" applyBorder="1" applyAlignment="1" applyProtection="1">
      <alignment horizontal="center"/>
      <protection hidden="1"/>
    </xf>
    <xf numFmtId="179" fontId="45" fillId="0" borderId="0" xfId="44" applyNumberFormat="1" applyFont="1" applyAlignment="1" applyProtection="1">
      <alignment horizontal="center"/>
      <protection hidden="1"/>
    </xf>
    <xf numFmtId="0" fontId="45" fillId="0" borderId="0" xfId="44" applyFont="1" applyProtection="1">
      <protection hidden="1"/>
    </xf>
    <xf numFmtId="0" fontId="14" fillId="0" borderId="24" xfId="44" applyFont="1" applyBorder="1" applyProtection="1">
      <protection hidden="1"/>
    </xf>
    <xf numFmtId="179" fontId="14" fillId="0" borderId="24" xfId="44" applyNumberFormat="1" applyFont="1" applyBorder="1" applyAlignment="1" applyProtection="1">
      <alignment horizontal="center"/>
      <protection hidden="1"/>
    </xf>
    <xf numFmtId="166" fontId="45" fillId="19" borderId="1" xfId="44" applyNumberFormat="1" applyFont="1" applyFill="1" applyBorder="1" applyAlignment="1" applyProtection="1">
      <alignment horizontal="center" vertical="center"/>
      <protection hidden="1"/>
    </xf>
    <xf numFmtId="166" fontId="45" fillId="19" borderId="2" xfId="44" applyNumberFormat="1" applyFont="1" applyFill="1" applyBorder="1" applyAlignment="1" applyProtection="1">
      <alignment horizontal="center" vertical="center"/>
      <protection hidden="1"/>
    </xf>
    <xf numFmtId="178" fontId="45" fillId="7" borderId="25" xfId="44" applyNumberFormat="1" applyFont="1" applyFill="1" applyBorder="1" applyAlignment="1" applyProtection="1">
      <alignment horizontal="center" vertical="center"/>
      <protection hidden="1"/>
    </xf>
    <xf numFmtId="0" fontId="46" fillId="0" borderId="0" xfId="44" applyFont="1" applyProtection="1">
      <protection hidden="1"/>
    </xf>
    <xf numFmtId="0" fontId="47" fillId="0" borderId="0" xfId="45" applyNumberFormat="1" applyFont="1" applyFill="1" applyBorder="1" applyAlignment="1" applyProtection="1">
      <protection hidden="1"/>
    </xf>
    <xf numFmtId="0" fontId="15" fillId="0" borderId="0" xfId="39" applyFont="1" applyAlignment="1" applyProtection="1">
      <alignment wrapText="1"/>
      <protection hidden="1"/>
    </xf>
    <xf numFmtId="169" fontId="14" fillId="0" borderId="0" xfId="12" applyNumberFormat="1" applyFont="1" applyFill="1" applyBorder="1" applyAlignment="1" applyProtection="1">
      <alignment horizontal="center"/>
      <protection hidden="1"/>
    </xf>
    <xf numFmtId="0" fontId="5" fillId="10" borderId="2" xfId="39" applyFill="1" applyBorder="1" applyProtection="1">
      <protection hidden="1"/>
    </xf>
    <xf numFmtId="0" fontId="5" fillId="17" borderId="24" xfId="39" applyFill="1" applyBorder="1" applyProtection="1">
      <protection hidden="1"/>
    </xf>
    <xf numFmtId="0" fontId="49" fillId="0" borderId="1" xfId="0" applyFont="1" applyBorder="1" applyAlignment="1" applyProtection="1">
      <alignment wrapText="1"/>
      <protection hidden="1"/>
    </xf>
    <xf numFmtId="0" fontId="31" fillId="0" borderId="0" xfId="44" applyFont="1" applyProtection="1">
      <protection hidden="1"/>
    </xf>
    <xf numFmtId="0" fontId="33" fillId="0" borderId="46" xfId="44" applyFont="1" applyBorder="1" applyAlignment="1">
      <alignment horizontal="center"/>
    </xf>
    <xf numFmtId="0" fontId="27" fillId="0" borderId="0" xfId="44"/>
    <xf numFmtId="0" fontId="33" fillId="0" borderId="0" xfId="44" applyFont="1"/>
    <xf numFmtId="0" fontId="51" fillId="0" borderId="0" xfId="41" applyFont="1"/>
    <xf numFmtId="0" fontId="51" fillId="0" borderId="0" xfId="0" applyFont="1"/>
    <xf numFmtId="0" fontId="50" fillId="0" borderId="0" xfId="0" applyFont="1"/>
    <xf numFmtId="179" fontId="52" fillId="0" borderId="36" xfId="41" applyNumberFormat="1" applyFont="1" applyBorder="1"/>
    <xf numFmtId="0" fontId="52" fillId="0" borderId="0" xfId="41" applyFont="1"/>
    <xf numFmtId="0" fontId="0" fillId="0" borderId="24" xfId="44" applyFont="1" applyBorder="1" applyProtection="1">
      <protection hidden="1"/>
    </xf>
    <xf numFmtId="0" fontId="53" fillId="0" borderId="0" xfId="44" applyFont="1"/>
    <xf numFmtId="0" fontId="33" fillId="0" borderId="44" xfId="44" applyFont="1" applyBorder="1" applyAlignment="1">
      <alignment horizontal="center"/>
    </xf>
    <xf numFmtId="0" fontId="33" fillId="0" borderId="45" xfId="44" applyFont="1" applyBorder="1" applyAlignment="1">
      <alignment horizontal="center"/>
    </xf>
    <xf numFmtId="0" fontId="33" fillId="0" borderId="26" xfId="44" applyFont="1" applyBorder="1" applyAlignment="1">
      <alignment horizontal="center"/>
    </xf>
    <xf numFmtId="2" fontId="33" fillId="0" borderId="0" xfId="44" applyNumberFormat="1" applyFont="1" applyAlignment="1">
      <alignment horizontal="center"/>
    </xf>
    <xf numFmtId="0" fontId="33" fillId="0" borderId="0" xfId="44" applyFont="1" applyAlignment="1">
      <alignment horizontal="center"/>
    </xf>
    <xf numFmtId="0" fontId="50" fillId="0" borderId="26" xfId="41" applyFont="1" applyBorder="1" applyAlignment="1">
      <alignment horizontal="center"/>
    </xf>
    <xf numFmtId="0" fontId="50" fillId="0" borderId="39" xfId="0" applyFont="1" applyBorder="1" applyAlignment="1">
      <alignment horizontal="center"/>
    </xf>
    <xf numFmtId="0" fontId="33" fillId="0" borderId="27" xfId="44" applyFont="1" applyBorder="1" applyAlignment="1">
      <alignment horizontal="center"/>
    </xf>
    <xf numFmtId="0" fontId="33" fillId="0" borderId="42" xfId="44" applyFont="1" applyBorder="1" applyAlignment="1">
      <alignment horizontal="center"/>
    </xf>
    <xf numFmtId="179" fontId="33" fillId="0" borderId="41" xfId="44" applyNumberFormat="1" applyFont="1" applyBorder="1" applyAlignment="1">
      <alignment horizontal="right"/>
    </xf>
    <xf numFmtId="0" fontId="0" fillId="0" borderId="0" xfId="44" applyFont="1" applyProtection="1">
      <protection hidden="1"/>
    </xf>
    <xf numFmtId="0" fontId="0" fillId="0" borderId="27" xfId="44" applyFont="1" applyBorder="1" applyProtection="1">
      <protection hidden="1"/>
    </xf>
    <xf numFmtId="0" fontId="40" fillId="0" borderId="0" xfId="44" applyFont="1"/>
    <xf numFmtId="0" fontId="2" fillId="0" borderId="0" xfId="50"/>
    <xf numFmtId="0" fontId="41" fillId="0" borderId="0" xfId="50" applyFont="1"/>
    <xf numFmtId="0" fontId="28" fillId="0" borderId="0" xfId="44" applyFont="1"/>
    <xf numFmtId="0" fontId="2" fillId="0" borderId="24" xfId="50" applyBorder="1"/>
    <xf numFmtId="1" fontId="33" fillId="8" borderId="24" xfId="44" applyNumberFormat="1" applyFont="1" applyFill="1" applyBorder="1" applyAlignment="1">
      <alignment horizontal="center"/>
    </xf>
    <xf numFmtId="3" fontId="33" fillId="8" borderId="24" xfId="44" applyNumberFormat="1" applyFont="1" applyFill="1" applyBorder="1" applyAlignment="1">
      <alignment horizontal="center"/>
    </xf>
    <xf numFmtId="0" fontId="35" fillId="0" borderId="0" xfId="44" applyFont="1"/>
    <xf numFmtId="1" fontId="33" fillId="0" borderId="0" xfId="44" applyNumberFormat="1" applyFont="1"/>
    <xf numFmtId="3" fontId="33" fillId="0" borderId="0" xfId="44" applyNumberFormat="1" applyFont="1"/>
    <xf numFmtId="0" fontId="32" fillId="0" borderId="0" xfId="44" applyFont="1"/>
    <xf numFmtId="7" fontId="33" fillId="0" borderId="0" xfId="44" applyNumberFormat="1" applyFont="1"/>
    <xf numFmtId="172" fontId="0" fillId="0" borderId="0" xfId="0" applyNumberFormat="1"/>
    <xf numFmtId="0" fontId="48" fillId="0" borderId="0" xfId="0" applyFont="1"/>
    <xf numFmtId="173" fontId="0" fillId="0" borderId="19" xfId="0" applyNumberFormat="1" applyBorder="1" applyAlignment="1" applyProtection="1">
      <alignment horizontal="left"/>
      <protection hidden="1"/>
    </xf>
    <xf numFmtId="168" fontId="0" fillId="0" borderId="0" xfId="0" applyNumberFormat="1" applyAlignment="1">
      <alignment horizontal="left"/>
    </xf>
    <xf numFmtId="0" fontId="0" fillId="0" borderId="0" xfId="0" applyAlignment="1">
      <alignment horizontal="right"/>
    </xf>
    <xf numFmtId="1" fontId="0" fillId="0" borderId="0" xfId="0" applyNumberFormat="1"/>
    <xf numFmtId="0" fontId="0" fillId="0" borderId="0" xfId="0" applyAlignment="1" applyProtection="1">
      <alignment vertical="center"/>
      <protection hidden="1"/>
    </xf>
    <xf numFmtId="0" fontId="54" fillId="0" borderId="0" xfId="0" applyFont="1" applyProtection="1">
      <protection hidden="1"/>
    </xf>
    <xf numFmtId="172" fontId="0" fillId="0" borderId="19" xfId="0" applyNumberFormat="1" applyBorder="1" applyAlignment="1">
      <alignment horizontal="right"/>
    </xf>
    <xf numFmtId="171" fontId="0" fillId="0" borderId="0" xfId="0" applyNumberFormat="1"/>
    <xf numFmtId="172" fontId="0" fillId="0" borderId="0" xfId="0" applyNumberFormat="1" applyAlignment="1">
      <alignment horizontal="center"/>
    </xf>
    <xf numFmtId="172" fontId="0" fillId="0" borderId="21" xfId="0" applyNumberFormat="1" applyBorder="1" applyAlignment="1">
      <alignment horizontal="center"/>
    </xf>
    <xf numFmtId="0" fontId="0" fillId="0" borderId="0" xfId="0" applyAlignment="1">
      <alignment horizontal="center"/>
    </xf>
    <xf numFmtId="178" fontId="27" fillId="8" borderId="24" xfId="48" applyNumberFormat="1" applyFont="1" applyFill="1" applyBorder="1" applyAlignment="1" applyProtection="1">
      <alignment horizontal="center"/>
      <protection hidden="1"/>
    </xf>
    <xf numFmtId="179" fontId="33" fillId="25" borderId="38" xfId="44" applyNumberFormat="1" applyFont="1" applyFill="1" applyBorder="1" applyAlignment="1">
      <alignment horizontal="right"/>
    </xf>
    <xf numFmtId="179" fontId="33" fillId="25" borderId="40" xfId="44" applyNumberFormat="1" applyFont="1" applyFill="1" applyBorder="1" applyAlignment="1">
      <alignment horizontal="right"/>
    </xf>
    <xf numFmtId="179" fontId="0" fillId="0" borderId="0" xfId="0" applyNumberFormat="1"/>
    <xf numFmtId="0" fontId="23" fillId="0" borderId="0" xfId="0" applyFont="1"/>
    <xf numFmtId="2" fontId="0" fillId="0" borderId="0" xfId="0" applyNumberFormat="1"/>
    <xf numFmtId="173" fontId="0" fillId="0" borderId="0" xfId="0" applyNumberFormat="1"/>
    <xf numFmtId="173" fontId="0" fillId="0" borderId="48" xfId="0" applyNumberFormat="1" applyBorder="1"/>
    <xf numFmtId="10" fontId="31" fillId="0" borderId="36" xfId="0" applyNumberFormat="1" applyFont="1" applyBorder="1"/>
    <xf numFmtId="0" fontId="13" fillId="0" borderId="0" xfId="39" applyFont="1" applyProtection="1">
      <protection hidden="1"/>
    </xf>
    <xf numFmtId="0" fontId="56" fillId="0" borderId="0" xfId="39" applyFont="1" applyProtection="1">
      <protection hidden="1"/>
    </xf>
    <xf numFmtId="0" fontId="57" fillId="0" borderId="0" xfId="39" applyFont="1" applyProtection="1">
      <protection hidden="1"/>
    </xf>
    <xf numFmtId="0" fontId="14" fillId="0" borderId="17" xfId="39" applyFont="1" applyBorder="1" applyProtection="1">
      <protection hidden="1"/>
    </xf>
    <xf numFmtId="0" fontId="14" fillId="0" borderId="19" xfId="39" applyFont="1" applyBorder="1" applyProtection="1">
      <protection hidden="1"/>
    </xf>
    <xf numFmtId="0" fontId="13" fillId="0" borderId="20" xfId="39" applyFont="1" applyBorder="1" applyProtection="1">
      <protection hidden="1"/>
    </xf>
    <xf numFmtId="0" fontId="13" fillId="0" borderId="11" xfId="39" applyFont="1" applyBorder="1" applyProtection="1">
      <protection hidden="1"/>
    </xf>
    <xf numFmtId="0" fontId="13" fillId="0" borderId="21" xfId="39" applyFont="1" applyBorder="1" applyProtection="1">
      <protection hidden="1"/>
    </xf>
    <xf numFmtId="0" fontId="14" fillId="0" borderId="19" xfId="39" applyFont="1" applyBorder="1" applyAlignment="1" applyProtection="1">
      <alignment wrapText="1"/>
      <protection hidden="1"/>
    </xf>
    <xf numFmtId="0" fontId="45" fillId="0" borderId="17" xfId="0" applyFont="1" applyBorder="1" applyProtection="1">
      <protection hidden="1"/>
    </xf>
    <xf numFmtId="0" fontId="45" fillId="0" borderId="20" xfId="0" applyFont="1" applyBorder="1" applyAlignment="1" applyProtection="1">
      <alignment horizontal="center"/>
      <protection hidden="1"/>
    </xf>
    <xf numFmtId="0" fontId="49" fillId="11" borderId="0" xfId="39" applyFont="1" applyFill="1" applyProtection="1">
      <protection hidden="1"/>
    </xf>
    <xf numFmtId="0" fontId="45" fillId="11" borderId="0" xfId="39" applyFont="1" applyFill="1" applyProtection="1">
      <protection hidden="1"/>
    </xf>
    <xf numFmtId="0" fontId="49" fillId="12" borderId="0" xfId="39" applyFont="1" applyFill="1" applyProtection="1">
      <protection hidden="1"/>
    </xf>
    <xf numFmtId="0" fontId="45" fillId="12" borderId="0" xfId="39" applyFont="1" applyFill="1" applyProtection="1">
      <protection hidden="1"/>
    </xf>
    <xf numFmtId="0" fontId="45" fillId="0" borderId="0" xfId="0" applyFont="1" applyProtection="1">
      <protection hidden="1"/>
    </xf>
    <xf numFmtId="171" fontId="45" fillId="10" borderId="19" xfId="39" applyNumberFormat="1" applyFont="1" applyFill="1" applyBorder="1" applyProtection="1">
      <protection locked="0"/>
    </xf>
    <xf numFmtId="171" fontId="45" fillId="10" borderId="9" xfId="0" applyNumberFormat="1" applyFont="1" applyFill="1" applyBorder="1" applyProtection="1">
      <protection locked="0"/>
    </xf>
    <xf numFmtId="171" fontId="45" fillId="10" borderId="17" xfId="39" applyNumberFormat="1" applyFont="1" applyFill="1" applyBorder="1" applyProtection="1">
      <protection locked="0"/>
    </xf>
    <xf numFmtId="171" fontId="45" fillId="10" borderId="20" xfId="0" applyNumberFormat="1" applyFont="1" applyFill="1" applyBorder="1" applyProtection="1">
      <protection locked="0"/>
    </xf>
    <xf numFmtId="0" fontId="45" fillId="10" borderId="1" xfId="39" applyFont="1" applyFill="1" applyBorder="1" applyProtection="1">
      <protection locked="0"/>
    </xf>
    <xf numFmtId="1" fontId="45" fillId="10" borderId="3" xfId="39" applyNumberFormat="1" applyFont="1" applyFill="1" applyBorder="1" applyProtection="1">
      <protection locked="0"/>
    </xf>
    <xf numFmtId="169" fontId="49" fillId="17" borderId="19" xfId="12" applyNumberFormat="1" applyFont="1" applyFill="1" applyBorder="1" applyAlignment="1" applyProtection="1">
      <alignment horizontal="center"/>
      <protection hidden="1"/>
    </xf>
    <xf numFmtId="0" fontId="45" fillId="0" borderId="0" xfId="39" applyFont="1" applyProtection="1">
      <protection hidden="1"/>
    </xf>
    <xf numFmtId="14" fontId="13" fillId="0" borderId="0" xfId="39" applyNumberFormat="1" applyFont="1" applyAlignment="1" applyProtection="1">
      <alignment horizontal="center"/>
      <protection hidden="1"/>
    </xf>
    <xf numFmtId="0" fontId="49" fillId="0" borderId="17" xfId="39" applyFont="1" applyBorder="1" applyProtection="1">
      <protection hidden="1"/>
    </xf>
    <xf numFmtId="169" fontId="49" fillId="0" borderId="0" xfId="12" applyNumberFormat="1" applyFont="1" applyFill="1" applyBorder="1" applyAlignment="1" applyProtection="1">
      <alignment horizontal="center"/>
      <protection hidden="1"/>
    </xf>
    <xf numFmtId="0" fontId="49" fillId="0" borderId="19" xfId="39" applyFont="1" applyBorder="1" applyProtection="1">
      <protection hidden="1"/>
    </xf>
    <xf numFmtId="0" fontId="45" fillId="0" borderId="18" xfId="39" applyFont="1" applyBorder="1" applyAlignment="1" applyProtection="1">
      <alignment horizontal="center"/>
      <protection hidden="1"/>
    </xf>
    <xf numFmtId="0" fontId="59" fillId="11" borderId="0" xfId="39" applyFont="1" applyFill="1" applyProtection="1">
      <protection hidden="1"/>
    </xf>
    <xf numFmtId="0" fontId="58" fillId="11" borderId="0" xfId="39" applyFont="1" applyFill="1" applyAlignment="1" applyProtection="1">
      <alignment wrapText="1"/>
      <protection hidden="1"/>
    </xf>
    <xf numFmtId="0" fontId="58" fillId="21" borderId="0" xfId="39" applyFont="1" applyFill="1" applyProtection="1">
      <protection hidden="1"/>
    </xf>
    <xf numFmtId="0" fontId="45" fillId="20" borderId="0" xfId="0" applyFont="1" applyFill="1" applyProtection="1">
      <protection hidden="1"/>
    </xf>
    <xf numFmtId="0" fontId="45" fillId="0" borderId="20" xfId="39" applyFont="1" applyBorder="1" applyProtection="1">
      <protection hidden="1"/>
    </xf>
    <xf numFmtId="171" fontId="45" fillId="10" borderId="18" xfId="0" applyNumberFormat="1" applyFont="1" applyFill="1" applyBorder="1" applyProtection="1">
      <protection locked="0"/>
    </xf>
    <xf numFmtId="0" fontId="45" fillId="21" borderId="0" xfId="39" applyFont="1" applyFill="1" applyProtection="1">
      <protection hidden="1"/>
    </xf>
    <xf numFmtId="0" fontId="45" fillId="20" borderId="0" xfId="39" applyFont="1" applyFill="1" applyProtection="1">
      <protection hidden="1"/>
    </xf>
    <xf numFmtId="0" fontId="45" fillId="0" borderId="11" xfId="39" applyFont="1" applyBorder="1" applyProtection="1">
      <protection hidden="1"/>
    </xf>
    <xf numFmtId="0" fontId="49" fillId="0" borderId="19" xfId="39" applyFont="1" applyBorder="1" applyAlignment="1" applyProtection="1">
      <alignment wrapText="1"/>
      <protection hidden="1"/>
    </xf>
    <xf numFmtId="169" fontId="49" fillId="0" borderId="0" xfId="12" applyNumberFormat="1" applyFont="1" applyFill="1" applyBorder="1" applyAlignment="1" applyProtection="1">
      <alignment horizontal="left"/>
      <protection hidden="1"/>
    </xf>
    <xf numFmtId="169" fontId="59" fillId="0" borderId="0" xfId="12" applyNumberFormat="1" applyFont="1" applyFill="1" applyBorder="1" applyAlignment="1" applyProtection="1">
      <alignment horizontal="center"/>
      <protection hidden="1"/>
    </xf>
    <xf numFmtId="0" fontId="58" fillId="0" borderId="0" xfId="39" applyFont="1" applyProtection="1">
      <protection hidden="1"/>
    </xf>
    <xf numFmtId="0" fontId="49" fillId="0" borderId="23" xfId="0" applyFont="1" applyBorder="1" applyProtection="1">
      <protection hidden="1"/>
    </xf>
    <xf numFmtId="0" fontId="45" fillId="0" borderId="19" xfId="39" applyFont="1" applyBorder="1" applyProtection="1">
      <protection hidden="1"/>
    </xf>
    <xf numFmtId="0" fontId="45" fillId="0" borderId="20" xfId="0" applyFont="1" applyBorder="1" applyProtection="1">
      <protection hidden="1"/>
    </xf>
    <xf numFmtId="0" fontId="45" fillId="0" borderId="17" xfId="39" applyFont="1" applyBorder="1" applyProtection="1">
      <protection hidden="1"/>
    </xf>
    <xf numFmtId="168" fontId="45" fillId="10" borderId="19" xfId="39" applyNumberFormat="1" applyFont="1" applyFill="1" applyBorder="1" applyProtection="1">
      <protection locked="0"/>
    </xf>
    <xf numFmtId="168" fontId="45" fillId="10" borderId="9" xfId="0" applyNumberFormat="1" applyFont="1" applyFill="1" applyBorder="1" applyProtection="1">
      <protection locked="0"/>
    </xf>
    <xf numFmtId="0" fontId="45" fillId="0" borderId="21" xfId="39" applyFont="1" applyBorder="1" applyProtection="1">
      <protection hidden="1"/>
    </xf>
    <xf numFmtId="0" fontId="45" fillId="10" borderId="1" xfId="0" applyFont="1" applyFill="1" applyBorder="1" applyProtection="1">
      <protection locked="0"/>
    </xf>
    <xf numFmtId="0" fontId="45" fillId="10" borderId="3" xfId="0" applyFont="1" applyFill="1" applyBorder="1" applyProtection="1">
      <protection locked="0"/>
    </xf>
    <xf numFmtId="0" fontId="45" fillId="13" borderId="0" xfId="0" applyFont="1" applyFill="1" applyAlignment="1" applyProtection="1">
      <alignment horizontal="center"/>
      <protection hidden="1"/>
    </xf>
    <xf numFmtId="1" fontId="45" fillId="10" borderId="9" xfId="0" applyNumberFormat="1" applyFont="1" applyFill="1" applyBorder="1" applyProtection="1">
      <protection locked="0"/>
    </xf>
    <xf numFmtId="1" fontId="45" fillId="10" borderId="19" xfId="39" applyNumberFormat="1" applyFont="1" applyFill="1" applyBorder="1" applyProtection="1">
      <protection locked="0"/>
    </xf>
    <xf numFmtId="0" fontId="45" fillId="0" borderId="22" xfId="39" applyFont="1" applyBorder="1" applyProtection="1">
      <protection hidden="1"/>
    </xf>
    <xf numFmtId="0" fontId="45" fillId="0" borderId="13" xfId="39" applyFont="1" applyBorder="1" applyProtection="1">
      <protection hidden="1"/>
    </xf>
    <xf numFmtId="0" fontId="49" fillId="20" borderId="0" xfId="0" applyFont="1" applyFill="1" applyProtection="1">
      <protection hidden="1"/>
    </xf>
    <xf numFmtId="0" fontId="49" fillId="0" borderId="23" xfId="39" applyFont="1" applyBorder="1" applyProtection="1">
      <protection hidden="1"/>
    </xf>
    <xf numFmtId="0" fontId="45" fillId="0" borderId="14" xfId="39" applyFont="1" applyBorder="1" applyProtection="1">
      <protection hidden="1"/>
    </xf>
    <xf numFmtId="0" fontId="49" fillId="0" borderId="9" xfId="39" applyFont="1" applyBorder="1" applyAlignment="1" applyProtection="1">
      <alignment wrapText="1"/>
      <protection hidden="1"/>
    </xf>
    <xf numFmtId="0" fontId="58" fillId="0" borderId="0" xfId="0" applyFont="1" applyProtection="1">
      <protection hidden="1"/>
    </xf>
    <xf numFmtId="0" fontId="45" fillId="13" borderId="1" xfId="0" applyFont="1" applyFill="1" applyBorder="1" applyAlignment="1" applyProtection="1">
      <alignment horizontal="center"/>
      <protection hidden="1"/>
    </xf>
    <xf numFmtId="0" fontId="14" fillId="0" borderId="1" xfId="31" applyFont="1" applyBorder="1" applyAlignment="1" applyProtection="1">
      <alignment wrapText="1"/>
      <protection hidden="1"/>
    </xf>
    <xf numFmtId="1" fontId="14" fillId="0" borderId="1" xfId="0" applyNumberFormat="1" applyFont="1" applyBorder="1" applyAlignment="1" applyProtection="1">
      <alignment horizontal="center" wrapText="1"/>
      <protection hidden="1"/>
    </xf>
    <xf numFmtId="166" fontId="45" fillId="0" borderId="0" xfId="0" applyNumberFormat="1" applyFont="1" applyAlignment="1" applyProtection="1">
      <alignment horizontal="center"/>
      <protection hidden="1"/>
    </xf>
    <xf numFmtId="0" fontId="45" fillId="0" borderId="8" xfId="0" applyFont="1" applyBorder="1" applyProtection="1">
      <protection hidden="1"/>
    </xf>
    <xf numFmtId="166" fontId="13" fillId="3" borderId="1" xfId="31" applyNumberFormat="1" applyFont="1" applyFill="1" applyBorder="1" applyAlignment="1" applyProtection="1">
      <alignment horizontal="center"/>
      <protection hidden="1"/>
    </xf>
    <xf numFmtId="0" fontId="14" fillId="0" borderId="1" xfId="0" applyFont="1" applyBorder="1" applyAlignment="1" applyProtection="1">
      <alignment wrapText="1"/>
      <protection hidden="1"/>
    </xf>
    <xf numFmtId="0" fontId="14" fillId="0" borderId="1" xfId="0" applyFont="1" applyBorder="1" applyAlignment="1" applyProtection="1">
      <alignment horizontal="center" wrapText="1"/>
      <protection hidden="1"/>
    </xf>
    <xf numFmtId="0" fontId="14" fillId="0" borderId="1" xfId="39" applyFont="1" applyBorder="1" applyAlignment="1" applyProtection="1">
      <alignment horizontal="center" wrapText="1"/>
      <protection hidden="1"/>
    </xf>
    <xf numFmtId="0" fontId="49" fillId="0" borderId="9" xfId="0" applyFont="1" applyBorder="1" applyProtection="1">
      <protection hidden="1"/>
    </xf>
    <xf numFmtId="0" fontId="45" fillId="0" borderId="10" xfId="0" applyFont="1" applyBorder="1" applyProtection="1">
      <protection hidden="1"/>
    </xf>
    <xf numFmtId="0" fontId="45" fillId="0" borderId="1" xfId="0" applyFont="1" applyBorder="1" applyProtection="1">
      <protection hidden="1"/>
    </xf>
    <xf numFmtId="171" fontId="45" fillId="2" borderId="1" xfId="0" applyNumberFormat="1" applyFont="1" applyFill="1" applyBorder="1" applyAlignment="1" applyProtection="1">
      <alignment horizontal="center"/>
      <protection locked="0"/>
    </xf>
    <xf numFmtId="3" fontId="13" fillId="2" borderId="1" xfId="0" applyNumberFormat="1" applyFont="1" applyFill="1" applyBorder="1" applyAlignment="1" applyProtection="1">
      <alignment horizontal="center"/>
      <protection locked="0"/>
    </xf>
    <xf numFmtId="166" fontId="14" fillId="3" borderId="1" xfId="0" applyNumberFormat="1" applyFont="1" applyFill="1" applyBorder="1" applyAlignment="1" applyProtection="1">
      <alignment horizontal="center"/>
      <protection hidden="1"/>
    </xf>
    <xf numFmtId="166" fontId="45" fillId="12" borderId="11" xfId="0" applyNumberFormat="1" applyFont="1" applyFill="1" applyBorder="1" applyProtection="1">
      <protection hidden="1"/>
    </xf>
    <xf numFmtId="0" fontId="45" fillId="12" borderId="12" xfId="0" applyFont="1" applyFill="1" applyBorder="1" applyProtection="1">
      <protection hidden="1"/>
    </xf>
    <xf numFmtId="0" fontId="45" fillId="12" borderId="13" xfId="0" applyFont="1" applyFill="1" applyBorder="1" applyProtection="1">
      <protection hidden="1"/>
    </xf>
    <xf numFmtId="0" fontId="13" fillId="4" borderId="3" xfId="39" applyFont="1" applyFill="1" applyBorder="1" applyAlignment="1" applyProtection="1">
      <alignment horizontal="center"/>
      <protection hidden="1"/>
    </xf>
    <xf numFmtId="166" fontId="45" fillId="5" borderId="14" xfId="0" applyNumberFormat="1" applyFont="1" applyFill="1" applyBorder="1" applyProtection="1">
      <protection hidden="1"/>
    </xf>
    <xf numFmtId="0" fontId="45" fillId="5" borderId="15" xfId="0" applyFont="1" applyFill="1" applyBorder="1" applyProtection="1">
      <protection hidden="1"/>
    </xf>
    <xf numFmtId="168" fontId="45" fillId="0" borderId="0" xfId="0" applyNumberFormat="1" applyFont="1" applyAlignment="1" applyProtection="1">
      <alignment horizontal="center"/>
      <protection hidden="1"/>
    </xf>
    <xf numFmtId="171" fontId="45" fillId="0" borderId="0" xfId="0" applyNumberFormat="1" applyFont="1" applyAlignment="1" applyProtection="1">
      <alignment horizontal="center"/>
      <protection hidden="1"/>
    </xf>
    <xf numFmtId="1" fontId="45" fillId="0" borderId="0" xfId="0" applyNumberFormat="1" applyFont="1" applyAlignment="1" applyProtection="1">
      <alignment horizontal="center"/>
      <protection hidden="1"/>
    </xf>
    <xf numFmtId="166" fontId="70" fillId="0" borderId="0" xfId="0" applyNumberFormat="1" applyFont="1" applyAlignment="1" applyProtection="1">
      <alignment horizontal="center"/>
      <protection hidden="1"/>
    </xf>
    <xf numFmtId="0" fontId="14" fillId="3" borderId="3" xfId="31" applyFont="1" applyFill="1" applyBorder="1" applyAlignment="1" applyProtection="1">
      <alignment vertical="center"/>
      <protection hidden="1"/>
    </xf>
    <xf numFmtId="0" fontId="14" fillId="3" borderId="4" xfId="0" applyFont="1" applyFill="1" applyBorder="1" applyAlignment="1" applyProtection="1">
      <alignment horizontal="center"/>
      <protection hidden="1"/>
    </xf>
    <xf numFmtId="171" fontId="14" fillId="3" borderId="4" xfId="0" applyNumberFormat="1" applyFont="1" applyFill="1" applyBorder="1" applyAlignment="1" applyProtection="1">
      <alignment horizontal="center"/>
      <protection hidden="1"/>
    </xf>
    <xf numFmtId="0" fontId="14" fillId="3" borderId="16" xfId="0" applyFont="1" applyFill="1" applyBorder="1" applyProtection="1">
      <protection hidden="1"/>
    </xf>
    <xf numFmtId="0" fontId="45" fillId="0" borderId="0" xfId="0" applyFont="1" applyAlignment="1" applyProtection="1">
      <alignment horizontal="center"/>
      <protection hidden="1"/>
    </xf>
    <xf numFmtId="0" fontId="49" fillId="0" borderId="0" xfId="0" applyFont="1" applyProtection="1">
      <protection hidden="1"/>
    </xf>
    <xf numFmtId="0" fontId="49" fillId="0" borderId="25" xfId="41" applyFont="1" applyBorder="1" applyAlignment="1" applyProtection="1">
      <alignment horizontal="left" vertical="center" wrapText="1"/>
      <protection hidden="1"/>
    </xf>
    <xf numFmtId="0" fontId="49" fillId="0" borderId="24" xfId="41" applyFont="1" applyBorder="1" applyAlignment="1" applyProtection="1">
      <alignment horizontal="center" vertical="center" wrapText="1"/>
      <protection hidden="1"/>
    </xf>
    <xf numFmtId="0" fontId="49" fillId="0" borderId="25" xfId="41" applyFont="1" applyBorder="1" applyAlignment="1" applyProtection="1">
      <alignment horizontal="center" vertical="center" wrapText="1"/>
      <protection hidden="1"/>
    </xf>
    <xf numFmtId="0" fontId="45" fillId="0" borderId="25" xfId="41" applyFont="1" applyBorder="1" applyAlignment="1" applyProtection="1">
      <alignment wrapText="1"/>
      <protection hidden="1"/>
    </xf>
    <xf numFmtId="3" fontId="1" fillId="8" borderId="24" xfId="41" applyNumberFormat="1" applyFont="1" applyFill="1" applyBorder="1" applyAlignment="1" applyProtection="1">
      <alignment horizontal="center"/>
      <protection locked="0"/>
    </xf>
    <xf numFmtId="3" fontId="1" fillId="8" borderId="25" xfId="41" applyNumberFormat="1" applyFont="1" applyFill="1" applyBorder="1" applyAlignment="1" applyProtection="1">
      <alignment horizontal="center"/>
      <protection locked="0"/>
    </xf>
    <xf numFmtId="168" fontId="1" fillId="6" borderId="25" xfId="41" applyNumberFormat="1" applyFont="1" applyFill="1" applyBorder="1" applyAlignment="1" applyProtection="1">
      <alignment horizontal="center"/>
      <protection locked="0"/>
    </xf>
    <xf numFmtId="1" fontId="1" fillId="6" borderId="25" xfId="41" applyNumberFormat="1" applyFont="1" applyFill="1" applyBorder="1" applyAlignment="1" applyProtection="1">
      <alignment horizontal="center"/>
      <protection locked="0"/>
    </xf>
    <xf numFmtId="14" fontId="13" fillId="0" borderId="0" xfId="0" applyNumberFormat="1" applyFont="1" applyAlignment="1" applyProtection="1">
      <alignment horizontal="center"/>
      <protection hidden="1"/>
    </xf>
    <xf numFmtId="0" fontId="45" fillId="0" borderId="1" xfId="0" applyFont="1" applyBorder="1" applyAlignment="1" applyProtection="1">
      <alignment horizontal="center" vertical="center" wrapText="1"/>
      <protection hidden="1"/>
    </xf>
    <xf numFmtId="0" fontId="45" fillId="0" borderId="24" xfId="0" applyFont="1" applyBorder="1" applyAlignment="1" applyProtection="1">
      <alignment horizontal="left" vertical="top" wrapText="1"/>
      <protection hidden="1"/>
    </xf>
    <xf numFmtId="0" fontId="45" fillId="0" borderId="47" xfId="0" applyFont="1" applyBorder="1" applyAlignment="1" applyProtection="1">
      <alignment horizontal="center" vertical="center" wrapText="1"/>
      <protection hidden="1"/>
    </xf>
    <xf numFmtId="0" fontId="45" fillId="0" borderId="1" xfId="0" applyFont="1" applyBorder="1" applyAlignment="1" applyProtection="1">
      <alignment horizontal="center" wrapText="1"/>
      <protection hidden="1"/>
    </xf>
    <xf numFmtId="0" fontId="45" fillId="8" borderId="24" xfId="0" applyFont="1" applyFill="1" applyBorder="1" applyAlignment="1" applyProtection="1">
      <alignment horizontal="center"/>
      <protection locked="0"/>
    </xf>
    <xf numFmtId="0" fontId="45" fillId="0" borderId="1" xfId="0" applyFont="1" applyBorder="1" applyAlignment="1" applyProtection="1">
      <alignment horizontal="center" vertical="top" wrapText="1"/>
      <protection hidden="1"/>
    </xf>
    <xf numFmtId="0" fontId="45" fillId="0" borderId="47" xfId="0" applyFont="1" applyBorder="1" applyAlignment="1" applyProtection="1">
      <alignment horizontal="center" vertical="top" wrapText="1"/>
      <protection hidden="1"/>
    </xf>
    <xf numFmtId="0" fontId="45" fillId="0" borderId="3" xfId="0" applyFont="1" applyBorder="1" applyAlignment="1" applyProtection="1">
      <alignment horizontal="center" vertical="top" wrapText="1"/>
      <protection hidden="1"/>
    </xf>
    <xf numFmtId="0" fontId="49" fillId="0" borderId="24" xfId="0" applyFont="1" applyBorder="1" applyAlignment="1" applyProtection="1">
      <alignment horizontal="center" vertical="top" wrapText="1"/>
      <protection hidden="1"/>
    </xf>
    <xf numFmtId="0" fontId="45" fillId="8" borderId="24" xfId="0" quotePrefix="1" applyFont="1" applyFill="1" applyBorder="1" applyAlignment="1" applyProtection="1">
      <alignment horizontal="center"/>
      <protection locked="0"/>
    </xf>
    <xf numFmtId="1" fontId="13" fillId="0" borderId="0" xfId="0" applyNumberFormat="1" applyFont="1" applyProtection="1">
      <protection hidden="1"/>
    </xf>
    <xf numFmtId="0" fontId="14" fillId="0" borderId="7" xfId="0" applyFont="1" applyBorder="1" applyProtection="1">
      <protection hidden="1"/>
    </xf>
    <xf numFmtId="0" fontId="13" fillId="2" borderId="1" xfId="0" applyFont="1" applyFill="1" applyBorder="1" applyProtection="1">
      <protection locked="0"/>
    </xf>
    <xf numFmtId="0" fontId="14" fillId="0" borderId="0" xfId="0" applyFont="1" applyProtection="1">
      <protection hidden="1"/>
    </xf>
    <xf numFmtId="0" fontId="13" fillId="22" borderId="1" xfId="0" applyFont="1" applyFill="1" applyBorder="1" applyProtection="1">
      <protection locked="0"/>
    </xf>
    <xf numFmtId="0" fontId="49" fillId="0" borderId="1" xfId="0" applyFont="1" applyBorder="1" applyAlignment="1" applyProtection="1">
      <alignment horizontal="center" vertical="center" wrapText="1"/>
      <protection hidden="1"/>
    </xf>
    <xf numFmtId="0" fontId="49" fillId="0" borderId="1" xfId="0" applyFont="1" applyBorder="1" applyAlignment="1" applyProtection="1">
      <alignment horizontal="center" wrapText="1"/>
      <protection hidden="1"/>
    </xf>
    <xf numFmtId="0" fontId="49" fillId="0" borderId="1" xfId="31" applyFont="1" applyBorder="1" applyProtection="1">
      <protection hidden="1"/>
    </xf>
    <xf numFmtId="1" fontId="45" fillId="3" borderId="1" xfId="0" applyNumberFormat="1" applyFont="1" applyFill="1" applyBorder="1" applyAlignment="1" applyProtection="1">
      <alignment horizontal="center"/>
      <protection hidden="1"/>
    </xf>
    <xf numFmtId="2" fontId="49" fillId="3" borderId="1" xfId="0" applyNumberFormat="1" applyFont="1" applyFill="1" applyBorder="1" applyAlignment="1" applyProtection="1">
      <alignment horizontal="center"/>
      <protection hidden="1"/>
    </xf>
    <xf numFmtId="0" fontId="14" fillId="0" borderId="1" xfId="0" applyFont="1" applyBorder="1" applyAlignment="1" applyProtection="1">
      <alignment horizontal="center" vertical="center" wrapText="1"/>
      <protection hidden="1"/>
    </xf>
    <xf numFmtId="0" fontId="45" fillId="6" borderId="24" xfId="0" applyFont="1" applyFill="1" applyBorder="1" applyAlignment="1" applyProtection="1">
      <alignment horizontal="center"/>
      <protection locked="0"/>
    </xf>
    <xf numFmtId="171" fontId="45" fillId="6" borderId="24" xfId="0" applyNumberFormat="1" applyFont="1" applyFill="1" applyBorder="1" applyAlignment="1" applyProtection="1">
      <alignment horizontal="center"/>
      <protection locked="0"/>
    </xf>
    <xf numFmtId="168" fontId="45" fillId="2" borderId="1" xfId="0" applyNumberFormat="1" applyFont="1" applyFill="1" applyBorder="1" applyAlignment="1" applyProtection="1">
      <alignment horizontal="center"/>
      <protection locked="0"/>
    </xf>
    <xf numFmtId="168" fontId="45" fillId="3" borderId="1" xfId="0" applyNumberFormat="1" applyFont="1" applyFill="1" applyBorder="1" applyAlignment="1" applyProtection="1">
      <alignment horizontal="center"/>
      <protection hidden="1"/>
    </xf>
    <xf numFmtId="0" fontId="45" fillId="2" borderId="1" xfId="0" applyFont="1" applyFill="1" applyBorder="1" applyAlignment="1" applyProtection="1">
      <alignment horizontal="center"/>
      <protection locked="0"/>
    </xf>
    <xf numFmtId="171" fontId="49" fillId="3" borderId="1" xfId="0" applyNumberFormat="1" applyFont="1" applyFill="1" applyBorder="1" applyAlignment="1" applyProtection="1">
      <alignment horizontal="center"/>
      <protection hidden="1"/>
    </xf>
    <xf numFmtId="168" fontId="49" fillId="3" borderId="1" xfId="0" applyNumberFormat="1" applyFont="1" applyFill="1" applyBorder="1" applyAlignment="1" applyProtection="1">
      <alignment horizontal="center"/>
      <protection hidden="1"/>
    </xf>
    <xf numFmtId="1" fontId="49" fillId="3" borderId="1" xfId="0" applyNumberFormat="1" applyFont="1" applyFill="1" applyBorder="1" applyAlignment="1" applyProtection="1">
      <alignment horizontal="center"/>
      <protection hidden="1"/>
    </xf>
    <xf numFmtId="0" fontId="45" fillId="0" borderId="3" xfId="0" applyFont="1" applyBorder="1" applyProtection="1">
      <protection hidden="1"/>
    </xf>
    <xf numFmtId="0" fontId="45" fillId="0" borderId="4" xfId="0" applyFont="1" applyBorder="1" applyProtection="1">
      <protection hidden="1"/>
    </xf>
    <xf numFmtId="0" fontId="49" fillId="0" borderId="4" xfId="0" applyFont="1" applyBorder="1" applyProtection="1">
      <protection hidden="1"/>
    </xf>
    <xf numFmtId="2" fontId="49" fillId="2" borderId="1" xfId="0" applyNumberFormat="1" applyFont="1" applyFill="1" applyBorder="1" applyAlignment="1" applyProtection="1">
      <alignment horizontal="center"/>
      <protection locked="0"/>
    </xf>
    <xf numFmtId="0" fontId="49" fillId="0" borderId="3" xfId="0" applyFont="1" applyBorder="1" applyProtection="1">
      <protection hidden="1"/>
    </xf>
    <xf numFmtId="3" fontId="45" fillId="2" borderId="1" xfId="0" applyNumberFormat="1" applyFont="1" applyFill="1" applyBorder="1" applyAlignment="1" applyProtection="1">
      <alignment horizontal="center"/>
      <protection locked="0"/>
    </xf>
    <xf numFmtId="1" fontId="45" fillId="2" borderId="1" xfId="0" applyNumberFormat="1" applyFont="1" applyFill="1" applyBorder="1" applyAlignment="1" applyProtection="1">
      <alignment horizontal="center"/>
      <protection locked="0"/>
    </xf>
    <xf numFmtId="167" fontId="45" fillId="2" borderId="1" xfId="0" applyNumberFormat="1" applyFont="1" applyFill="1" applyBorder="1" applyAlignment="1" applyProtection="1">
      <alignment horizontal="center"/>
      <protection locked="0"/>
    </xf>
    <xf numFmtId="169" fontId="49" fillId="3" borderId="1" xfId="0" applyNumberFormat="1" applyFont="1" applyFill="1" applyBorder="1" applyAlignment="1" applyProtection="1">
      <alignment horizontal="center"/>
      <protection hidden="1"/>
    </xf>
    <xf numFmtId="166" fontId="49" fillId="0" borderId="0" xfId="0" applyNumberFormat="1" applyFont="1" applyAlignment="1" applyProtection="1">
      <alignment horizontal="right"/>
      <protection hidden="1"/>
    </xf>
    <xf numFmtId="168" fontId="45" fillId="0" borderId="5" xfId="0" applyNumberFormat="1" applyFont="1" applyBorder="1" applyAlignment="1" applyProtection="1">
      <alignment horizontal="center"/>
      <protection hidden="1"/>
    </xf>
    <xf numFmtId="2" fontId="45" fillId="0" borderId="0" xfId="0" applyNumberFormat="1" applyFont="1" applyAlignment="1" applyProtection="1">
      <alignment horizontal="center"/>
      <protection hidden="1"/>
    </xf>
    <xf numFmtId="3" fontId="45" fillId="23" borderId="1" xfId="0" applyNumberFormat="1" applyFont="1" applyFill="1" applyBorder="1" applyAlignment="1" applyProtection="1">
      <alignment horizontal="center"/>
      <protection locked="0"/>
    </xf>
    <xf numFmtId="0" fontId="29" fillId="0" borderId="1" xfId="0" applyFont="1" applyBorder="1" applyAlignment="1" applyProtection="1">
      <alignment horizontal="left" vertical="center" wrapText="1"/>
      <protection hidden="1"/>
    </xf>
    <xf numFmtId="166" fontId="49" fillId="3" borderId="3" xfId="0" applyNumberFormat="1" applyFont="1" applyFill="1" applyBorder="1" applyAlignment="1" applyProtection="1">
      <alignment horizontal="center"/>
      <protection hidden="1"/>
    </xf>
    <xf numFmtId="166" fontId="49" fillId="3" borderId="49" xfId="0" applyNumberFormat="1" applyFont="1" applyFill="1" applyBorder="1" applyAlignment="1" applyProtection="1">
      <alignment horizontal="center"/>
      <protection hidden="1"/>
    </xf>
    <xf numFmtId="0" fontId="5" fillId="0" borderId="0" xfId="44" applyFont="1" applyAlignment="1" applyProtection="1">
      <alignment horizontal="right"/>
      <protection hidden="1"/>
    </xf>
    <xf numFmtId="0" fontId="73" fillId="0" borderId="1" xfId="44" applyFont="1" applyBorder="1" applyAlignment="1" applyProtection="1">
      <alignment horizontal="center" vertical="center" wrapText="1"/>
      <protection hidden="1"/>
    </xf>
    <xf numFmtId="0" fontId="49" fillId="0" borderId="1" xfId="44" applyFont="1" applyBorder="1" applyAlignment="1" applyProtection="1">
      <alignment horizontal="center" wrapText="1"/>
      <protection hidden="1"/>
    </xf>
    <xf numFmtId="0" fontId="49" fillId="0" borderId="1" xfId="44" applyFont="1" applyBorder="1" applyAlignment="1" applyProtection="1">
      <alignment horizontal="center" vertical="center" wrapText="1"/>
      <protection hidden="1"/>
    </xf>
    <xf numFmtId="0" fontId="45" fillId="0" borderId="1" xfId="44" applyFont="1" applyBorder="1" applyAlignment="1" applyProtection="1">
      <alignment horizontal="center" vertical="center" wrapText="1"/>
      <protection hidden="1"/>
    </xf>
    <xf numFmtId="0" fontId="45" fillId="0" borderId="1" xfId="44" applyFont="1" applyBorder="1" applyAlignment="1" applyProtection="1">
      <alignment vertical="center"/>
      <protection hidden="1"/>
    </xf>
    <xf numFmtId="3" fontId="45" fillId="2" borderId="1" xfId="44" applyNumberFormat="1" applyFont="1" applyFill="1" applyBorder="1" applyAlignment="1" applyProtection="1">
      <alignment horizontal="center" vertical="center"/>
      <protection locked="0"/>
    </xf>
    <xf numFmtId="3" fontId="45" fillId="24" borderId="1" xfId="44" applyNumberFormat="1" applyFont="1" applyFill="1" applyBorder="1" applyAlignment="1" applyProtection="1">
      <alignment horizontal="center" vertical="center"/>
      <protection hidden="1"/>
    </xf>
    <xf numFmtId="0" fontId="45" fillId="0" borderId="1" xfId="44" applyFont="1" applyBorder="1" applyAlignment="1" applyProtection="1">
      <alignment horizontal="center" vertical="center"/>
      <protection hidden="1"/>
    </xf>
    <xf numFmtId="1" fontId="74" fillId="19" borderId="1" xfId="44" applyNumberFormat="1" applyFont="1" applyFill="1" applyBorder="1" applyAlignment="1" applyProtection="1">
      <alignment horizontal="center" vertical="center"/>
      <protection hidden="1"/>
    </xf>
    <xf numFmtId="0" fontId="45" fillId="0" borderId="1" xfId="44" applyFont="1" applyBorder="1" applyAlignment="1" applyProtection="1">
      <alignment vertical="center" wrapText="1"/>
      <protection hidden="1"/>
    </xf>
    <xf numFmtId="3" fontId="45" fillId="2" borderId="2" xfId="44" applyNumberFormat="1" applyFont="1" applyFill="1" applyBorder="1" applyAlignment="1" applyProtection="1">
      <alignment horizontal="center" vertical="center"/>
      <protection locked="0"/>
    </xf>
    <xf numFmtId="1" fontId="74" fillId="19" borderId="2" xfId="44" applyNumberFormat="1" applyFont="1" applyFill="1" applyBorder="1" applyAlignment="1" applyProtection="1">
      <alignment horizontal="center" vertical="center"/>
      <protection hidden="1"/>
    </xf>
    <xf numFmtId="0" fontId="49" fillId="0" borderId="3" xfId="44" applyFont="1" applyBorder="1" applyProtection="1">
      <protection hidden="1"/>
    </xf>
    <xf numFmtId="3" fontId="49" fillId="19" borderId="43" xfId="44" applyNumberFormat="1" applyFont="1" applyFill="1" applyBorder="1" applyAlignment="1" applyProtection="1">
      <alignment horizontal="center" vertical="center"/>
      <protection hidden="1"/>
    </xf>
    <xf numFmtId="0" fontId="45" fillId="0" borderId="4" xfId="44" applyFont="1" applyBorder="1" applyProtection="1">
      <protection hidden="1"/>
    </xf>
    <xf numFmtId="3" fontId="49" fillId="7" borderId="43" xfId="44" applyNumberFormat="1" applyFont="1" applyFill="1" applyBorder="1" applyAlignment="1" applyProtection="1">
      <alignment horizontal="center" vertical="center"/>
      <protection hidden="1"/>
    </xf>
    <xf numFmtId="0" fontId="45" fillId="0" borderId="0" xfId="44" applyFont="1" applyAlignment="1" applyProtection="1">
      <alignment horizontal="center"/>
      <protection hidden="1"/>
    </xf>
    <xf numFmtId="0" fontId="49" fillId="0" borderId="0" xfId="44" applyFont="1" applyProtection="1">
      <protection hidden="1"/>
    </xf>
    <xf numFmtId="3" fontId="45" fillId="2" borderId="24" xfId="44" applyNumberFormat="1" applyFont="1" applyFill="1" applyBorder="1" applyAlignment="1" applyProtection="1">
      <alignment horizontal="center" vertical="center"/>
      <protection locked="0"/>
    </xf>
    <xf numFmtId="0" fontId="49" fillId="0" borderId="1" xfId="46" applyFont="1" applyBorder="1" applyAlignment="1" applyProtection="1">
      <alignment horizontal="center" vertical="center" wrapText="1"/>
      <protection hidden="1"/>
    </xf>
    <xf numFmtId="0" fontId="45" fillId="0" borderId="0" xfId="44" applyFont="1" applyAlignment="1" applyProtection="1">
      <alignment horizontal="center" wrapText="1"/>
      <protection hidden="1"/>
    </xf>
    <xf numFmtId="0" fontId="49" fillId="0" borderId="1" xfId="46" applyFont="1" applyBorder="1" applyAlignment="1" applyProtection="1">
      <alignment vertical="center" wrapText="1"/>
      <protection hidden="1"/>
    </xf>
    <xf numFmtId="3" fontId="45" fillId="18" borderId="1" xfId="44" applyNumberFormat="1" applyFont="1" applyFill="1" applyBorder="1" applyAlignment="1" applyProtection="1">
      <alignment horizontal="center" vertical="center"/>
      <protection hidden="1"/>
    </xf>
    <xf numFmtId="166" fontId="49" fillId="19" borderId="1" xfId="44" applyNumberFormat="1" applyFont="1" applyFill="1" applyBorder="1" applyAlignment="1" applyProtection="1">
      <alignment horizontal="center" vertical="center" wrapText="1"/>
      <protection hidden="1"/>
    </xf>
    <xf numFmtId="0" fontId="45" fillId="0" borderId="0" xfId="44" applyFont="1" applyAlignment="1" applyProtection="1">
      <alignment horizontal="left"/>
      <protection locked="0"/>
    </xf>
    <xf numFmtId="0" fontId="49" fillId="0" borderId="1" xfId="44" applyFont="1" applyBorder="1" applyAlignment="1" applyProtection="1">
      <alignment vertical="center" wrapText="1"/>
      <protection hidden="1"/>
    </xf>
    <xf numFmtId="166" fontId="49" fillId="19" borderId="2" xfId="44" applyNumberFormat="1" applyFont="1" applyFill="1" applyBorder="1" applyAlignment="1" applyProtection="1">
      <alignment horizontal="center" vertical="center"/>
      <protection hidden="1"/>
    </xf>
    <xf numFmtId="0" fontId="45" fillId="0" borderId="0" xfId="47" applyNumberFormat="1" applyFont="1" applyFill="1" applyBorder="1" applyAlignment="1" applyProtection="1">
      <alignment horizontal="left"/>
      <protection locked="0"/>
    </xf>
    <xf numFmtId="178" fontId="49" fillId="7" borderId="36" xfId="44" applyNumberFormat="1" applyFont="1" applyFill="1" applyBorder="1" applyAlignment="1" applyProtection="1">
      <alignment horizontal="center" vertical="center"/>
      <protection hidden="1"/>
    </xf>
    <xf numFmtId="0" fontId="49" fillId="0" borderId="0" xfId="44" applyFont="1" applyAlignment="1" applyProtection="1">
      <alignment horizontal="center" vertical="center" wrapText="1"/>
      <protection hidden="1"/>
    </xf>
    <xf numFmtId="169" fontId="49" fillId="3" borderId="3" xfId="0" applyNumberFormat="1" applyFont="1" applyFill="1" applyBorder="1" applyAlignment="1" applyProtection="1">
      <alignment horizontal="center"/>
      <protection hidden="1"/>
    </xf>
    <xf numFmtId="169" fontId="49" fillId="19" borderId="1" xfId="0" applyNumberFormat="1" applyFont="1" applyFill="1" applyBorder="1" applyAlignment="1" applyProtection="1">
      <alignment horizontal="center"/>
      <protection hidden="1"/>
    </xf>
    <xf numFmtId="0" fontId="49" fillId="0" borderId="0" xfId="0" applyFont="1" applyProtection="1">
      <protection locked="0"/>
    </xf>
    <xf numFmtId="0" fontId="45" fillId="0" borderId="0" xfId="0" applyFont="1" applyProtection="1">
      <protection locked="0"/>
    </xf>
    <xf numFmtId="0" fontId="0" fillId="0" borderId="1" xfId="44" applyFont="1" applyBorder="1" applyAlignment="1" applyProtection="1">
      <alignment horizontal="center" vertical="center" wrapText="1"/>
      <protection hidden="1"/>
    </xf>
    <xf numFmtId="0" fontId="45" fillId="0" borderId="0" xfId="0" applyFont="1" applyAlignment="1" applyProtection="1">
      <alignment horizontal="center" vertical="center"/>
      <protection hidden="1"/>
    </xf>
    <xf numFmtId="0" fontId="45" fillId="0" borderId="0" xfId="0" applyFont="1" applyAlignment="1" applyProtection="1">
      <alignment horizontal="left"/>
      <protection locked="0"/>
    </xf>
    <xf numFmtId="0" fontId="49" fillId="0" borderId="3" xfId="0" applyFont="1" applyBorder="1" applyAlignment="1" applyProtection="1">
      <alignment horizontal="center" vertical="center" wrapText="1"/>
      <protection hidden="1"/>
    </xf>
    <xf numFmtId="0" fontId="49" fillId="0" borderId="24" xfId="0" applyFont="1" applyBorder="1" applyAlignment="1" applyProtection="1">
      <alignment horizontal="center" vertical="center" wrapText="1"/>
      <protection hidden="1"/>
    </xf>
    <xf numFmtId="0" fontId="45" fillId="0" borderId="1" xfId="0" applyFont="1"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49" fillId="0" borderId="25" xfId="0" applyFont="1" applyBorder="1" applyAlignment="1" applyProtection="1">
      <alignment horizontal="center" vertical="top" wrapText="1"/>
      <protection hidden="1"/>
    </xf>
    <xf numFmtId="0" fontId="49" fillId="3" borderId="24" xfId="0" applyFont="1" applyFill="1" applyBorder="1" applyAlignment="1" applyProtection="1">
      <alignment horizontal="center" vertical="center" wrapText="1"/>
      <protection hidden="1"/>
    </xf>
    <xf numFmtId="166" fontId="49" fillId="3" borderId="24" xfId="2" applyNumberFormat="1" applyFont="1" applyFill="1" applyBorder="1" applyAlignment="1" applyProtection="1">
      <alignment horizontal="center"/>
      <protection hidden="1"/>
    </xf>
    <xf numFmtId="0" fontId="13" fillId="0" borderId="0" xfId="0" applyFont="1" applyAlignment="1" applyProtection="1">
      <alignment horizontal="left" wrapText="1"/>
      <protection hidden="1"/>
    </xf>
    <xf numFmtId="0" fontId="49" fillId="0" borderId="51" xfId="0" applyFont="1" applyBorder="1" applyAlignment="1" applyProtection="1">
      <alignment horizontal="left" vertical="center" wrapText="1"/>
      <protection hidden="1"/>
    </xf>
    <xf numFmtId="0" fontId="45" fillId="0" borderId="52" xfId="0" applyFont="1" applyBorder="1" applyAlignment="1" applyProtection="1">
      <alignment horizontal="center" vertical="center" wrapText="1"/>
      <protection hidden="1"/>
    </xf>
    <xf numFmtId="0" fontId="17" fillId="3" borderId="53" xfId="0" applyFont="1" applyFill="1" applyBorder="1" applyAlignment="1" applyProtection="1">
      <alignment horizontal="center" vertical="center" wrapText="1"/>
      <protection hidden="1"/>
    </xf>
    <xf numFmtId="0" fontId="49" fillId="0" borderId="39" xfId="0" applyFont="1" applyBorder="1" applyAlignment="1" applyProtection="1">
      <alignment horizontal="left" vertical="center" wrapText="1"/>
      <protection hidden="1"/>
    </xf>
    <xf numFmtId="37" fontId="45" fillId="23" borderId="54" xfId="1" applyNumberFormat="1" applyFont="1" applyFill="1" applyBorder="1" applyAlignment="1" applyProtection="1">
      <alignment horizontal="center"/>
      <protection locked="0"/>
    </xf>
    <xf numFmtId="3" fontId="45" fillId="3" borderId="55" xfId="0" applyNumberFormat="1" applyFont="1" applyFill="1" applyBorder="1" applyAlignment="1" applyProtection="1">
      <alignment horizontal="center"/>
      <protection hidden="1"/>
    </xf>
    <xf numFmtId="3" fontId="45" fillId="2" borderId="56" xfId="0" applyNumberFormat="1" applyFont="1" applyFill="1" applyBorder="1" applyAlignment="1" applyProtection="1">
      <alignment horizontal="center"/>
      <protection locked="0"/>
    </xf>
    <xf numFmtId="0" fontId="14" fillId="0" borderId="51" xfId="0" applyFont="1" applyBorder="1" applyAlignment="1" applyProtection="1">
      <alignment horizontal="left" vertical="center" wrapText="1"/>
      <protection hidden="1"/>
    </xf>
    <xf numFmtId="0" fontId="49" fillId="0" borderId="52" xfId="0" applyFont="1" applyBorder="1" applyAlignment="1" applyProtection="1">
      <alignment horizontal="center" vertical="center" wrapText="1"/>
      <protection hidden="1"/>
    </xf>
    <xf numFmtId="0" fontId="49" fillId="0" borderId="57" xfId="0" applyFont="1" applyBorder="1" applyAlignment="1" applyProtection="1">
      <alignment horizontal="center" vertical="center" wrapText="1"/>
      <protection hidden="1"/>
    </xf>
    <xf numFmtId="0" fontId="14" fillId="0" borderId="39" xfId="0" applyFont="1" applyBorder="1" applyAlignment="1" applyProtection="1">
      <alignment horizontal="left" vertical="center" wrapText="1"/>
      <protection hidden="1"/>
    </xf>
    <xf numFmtId="166" fontId="45" fillId="2" borderId="55" xfId="0" applyNumberFormat="1" applyFont="1" applyFill="1" applyBorder="1" applyAlignment="1" applyProtection="1">
      <alignment horizontal="center"/>
      <protection locked="0"/>
    </xf>
    <xf numFmtId="166" fontId="49" fillId="3" borderId="56" xfId="2" applyNumberFormat="1" applyFont="1" applyFill="1" applyBorder="1" applyAlignment="1" applyProtection="1">
      <alignment horizontal="center"/>
      <protection hidden="1"/>
    </xf>
    <xf numFmtId="166" fontId="49" fillId="23" borderId="56" xfId="2" applyNumberFormat="1" applyFont="1" applyFill="1" applyBorder="1" applyAlignment="1" applyProtection="1">
      <alignment horizontal="center"/>
      <protection locked="0"/>
    </xf>
    <xf numFmtId="0" fontId="49" fillId="0" borderId="2" xfId="0" applyFont="1" applyBorder="1" applyAlignment="1" applyProtection="1">
      <alignment wrapText="1"/>
      <protection hidden="1"/>
    </xf>
    <xf numFmtId="3" fontId="45" fillId="2" borderId="2" xfId="0" applyNumberFormat="1" applyFont="1" applyFill="1" applyBorder="1" applyAlignment="1" applyProtection="1">
      <alignment horizontal="center"/>
      <protection locked="0"/>
    </xf>
    <xf numFmtId="167" fontId="45" fillId="2" borderId="2" xfId="0" applyNumberFormat="1" applyFont="1" applyFill="1" applyBorder="1" applyAlignment="1" applyProtection="1">
      <alignment horizontal="center"/>
      <protection locked="0"/>
    </xf>
    <xf numFmtId="0" fontId="49" fillId="0" borderId="0" xfId="0" applyFont="1" applyAlignment="1" applyProtection="1">
      <alignment wrapText="1"/>
      <protection hidden="1"/>
    </xf>
    <xf numFmtId="1" fontId="45" fillId="2" borderId="2" xfId="0" applyNumberFormat="1" applyFont="1" applyFill="1" applyBorder="1" applyAlignment="1" applyProtection="1">
      <alignment horizontal="center"/>
      <protection locked="0"/>
    </xf>
    <xf numFmtId="167" fontId="45" fillId="2" borderId="16" xfId="0" applyNumberFormat="1" applyFont="1" applyFill="1" applyBorder="1" applyAlignment="1" applyProtection="1">
      <alignment horizontal="center"/>
      <protection locked="0"/>
    </xf>
    <xf numFmtId="0" fontId="49" fillId="0" borderId="24" xfId="0" applyFont="1" applyBorder="1" applyAlignment="1" applyProtection="1">
      <alignment wrapText="1"/>
      <protection hidden="1"/>
    </xf>
    <xf numFmtId="3" fontId="45" fillId="2" borderId="24" xfId="0" applyNumberFormat="1" applyFont="1" applyFill="1" applyBorder="1" applyAlignment="1" applyProtection="1">
      <alignment horizontal="center"/>
      <protection locked="0"/>
    </xf>
    <xf numFmtId="167" fontId="45" fillId="2" borderId="24" xfId="0" applyNumberFormat="1" applyFont="1" applyFill="1" applyBorder="1" applyAlignment="1" applyProtection="1">
      <alignment horizontal="center"/>
      <protection locked="0"/>
    </xf>
    <xf numFmtId="1" fontId="45" fillId="2" borderId="24" xfId="0" applyNumberFormat="1" applyFont="1" applyFill="1" applyBorder="1" applyAlignment="1" applyProtection="1">
      <alignment horizontal="center"/>
      <protection locked="0"/>
    </xf>
    <xf numFmtId="0" fontId="49" fillId="0" borderId="25" xfId="0" applyFont="1" applyBorder="1" applyAlignment="1" applyProtection="1">
      <alignment wrapText="1"/>
      <protection hidden="1"/>
    </xf>
    <xf numFmtId="3" fontId="49" fillId="3" borderId="37" xfId="1" applyNumberFormat="1" applyFont="1" applyFill="1" applyBorder="1" applyAlignment="1" applyProtection="1">
      <alignment horizontal="center"/>
      <protection hidden="1"/>
    </xf>
    <xf numFmtId="0" fontId="45" fillId="0" borderId="0" xfId="0" applyFont="1" applyAlignment="1" applyProtection="1">
      <alignment horizontal="left"/>
      <protection hidden="1"/>
    </xf>
    <xf numFmtId="0" fontId="45" fillId="0" borderId="50" xfId="0" applyFont="1" applyBorder="1" applyAlignment="1">
      <alignment horizontal="left"/>
    </xf>
    <xf numFmtId="0" fontId="75" fillId="0" borderId="0" xfId="43" applyFont="1" applyAlignment="1">
      <alignment vertical="center" wrapText="1"/>
    </xf>
    <xf numFmtId="0" fontId="76" fillId="0" borderId="0" xfId="43" applyFont="1" applyAlignment="1">
      <alignment vertical="center" wrapText="1"/>
    </xf>
    <xf numFmtId="0" fontId="76" fillId="0" borderId="0" xfId="44" applyFont="1"/>
    <xf numFmtId="0" fontId="45" fillId="0" borderId="0" xfId="44" applyFont="1"/>
    <xf numFmtId="1" fontId="76" fillId="0" borderId="0" xfId="44" applyNumberFormat="1" applyFont="1"/>
    <xf numFmtId="0" fontId="76" fillId="0" borderId="0" xfId="44" applyFont="1" applyAlignment="1">
      <alignment horizontal="center"/>
    </xf>
    <xf numFmtId="3" fontId="76" fillId="0" borderId="0" xfId="44" applyNumberFormat="1" applyFont="1"/>
    <xf numFmtId="0" fontId="75" fillId="0" borderId="0" xfId="44" applyFont="1"/>
    <xf numFmtId="0" fontId="76" fillId="0" borderId="0" xfId="43" applyFont="1"/>
    <xf numFmtId="0" fontId="53" fillId="0" borderId="42" xfId="44" applyFont="1" applyBorder="1" applyAlignment="1">
      <alignment vertical="center"/>
    </xf>
    <xf numFmtId="0" fontId="76" fillId="0" borderId="25" xfId="44" applyFont="1" applyBorder="1" applyAlignment="1">
      <alignment horizontal="center" wrapText="1"/>
    </xf>
    <xf numFmtId="0" fontId="76" fillId="0" borderId="37" xfId="44" applyFont="1" applyBorder="1" applyAlignment="1">
      <alignment horizontal="center" wrapText="1"/>
    </xf>
    <xf numFmtId="0" fontId="76" fillId="0" borderId="58" xfId="44" applyFont="1" applyBorder="1" applyAlignment="1">
      <alignment horizontal="center"/>
    </xf>
    <xf numFmtId="0" fontId="76" fillId="0" borderId="40" xfId="44" applyFont="1" applyBorder="1" applyAlignment="1">
      <alignment horizontal="center"/>
    </xf>
    <xf numFmtId="0" fontId="76" fillId="0" borderId="24" xfId="44" applyFont="1" applyBorder="1" applyAlignment="1">
      <alignment horizontal="center" wrapText="1"/>
    </xf>
    <xf numFmtId="0" fontId="76" fillId="0" borderId="27" xfId="44" applyFont="1" applyBorder="1" applyAlignment="1">
      <alignment horizontal="center"/>
    </xf>
    <xf numFmtId="11" fontId="76" fillId="0" borderId="41" xfId="43" applyNumberFormat="1" applyFont="1" applyBorder="1"/>
    <xf numFmtId="0" fontId="76" fillId="0" borderId="50" xfId="44" applyFont="1" applyBorder="1" applyAlignment="1">
      <alignment horizontal="center"/>
    </xf>
    <xf numFmtId="168" fontId="76" fillId="0" borderId="38" xfId="44" applyNumberFormat="1" applyFont="1" applyBorder="1" applyAlignment="1">
      <alignment horizontal="center"/>
    </xf>
    <xf numFmtId="7" fontId="76" fillId="0" borderId="0" xfId="44" applyNumberFormat="1" applyFont="1" applyAlignment="1">
      <alignment horizontal="center"/>
    </xf>
    <xf numFmtId="7" fontId="76" fillId="0" borderId="41" xfId="44" applyNumberFormat="1" applyFont="1" applyBorder="1"/>
    <xf numFmtId="11" fontId="76" fillId="0" borderId="0" xfId="43" applyNumberFormat="1" applyFont="1"/>
    <xf numFmtId="0" fontId="76" fillId="0" borderId="41" xfId="43" applyFont="1" applyBorder="1"/>
    <xf numFmtId="0" fontId="76" fillId="0" borderId="38" xfId="44" applyFont="1" applyBorder="1" applyAlignment="1">
      <alignment horizontal="center"/>
    </xf>
    <xf numFmtId="3" fontId="76" fillId="0" borderId="50" xfId="44" applyNumberFormat="1" applyFont="1" applyBorder="1" applyAlignment="1">
      <alignment horizontal="center"/>
    </xf>
    <xf numFmtId="7" fontId="76" fillId="0" borderId="0" xfId="44" applyNumberFormat="1" applyFont="1"/>
    <xf numFmtId="1" fontId="76" fillId="0" borderId="38" xfId="44" applyNumberFormat="1" applyFont="1" applyBorder="1" applyAlignment="1">
      <alignment horizontal="center"/>
    </xf>
    <xf numFmtId="0" fontId="76" fillId="0" borderId="59" xfId="43" applyFont="1" applyBorder="1"/>
    <xf numFmtId="168" fontId="76" fillId="0" borderId="40" xfId="44" applyNumberFormat="1" applyFont="1" applyBorder="1" applyAlignment="1">
      <alignment horizontal="center"/>
    </xf>
    <xf numFmtId="7" fontId="76" fillId="0" borderId="59" xfId="44" applyNumberFormat="1" applyFont="1" applyBorder="1"/>
    <xf numFmtId="0" fontId="76" fillId="0" borderId="0" xfId="44" applyFont="1" applyAlignment="1">
      <alignment horizontal="right"/>
    </xf>
    <xf numFmtId="7" fontId="76" fillId="0" borderId="24" xfId="44" applyNumberFormat="1" applyFont="1" applyBorder="1"/>
    <xf numFmtId="0" fontId="53" fillId="0" borderId="0" xfId="44" applyFont="1" applyAlignment="1">
      <alignment horizontal="left"/>
    </xf>
    <xf numFmtId="7" fontId="76" fillId="0" borderId="0" xfId="43" applyNumberFormat="1" applyFont="1"/>
    <xf numFmtId="2" fontId="76" fillId="0" borderId="38" xfId="44" applyNumberFormat="1" applyFont="1" applyBorder="1" applyAlignment="1">
      <alignment horizontal="center"/>
    </xf>
    <xf numFmtId="3" fontId="76" fillId="0" borderId="44" xfId="44" applyNumberFormat="1" applyFont="1" applyBorder="1" applyAlignment="1">
      <alignment horizontal="center"/>
    </xf>
    <xf numFmtId="0" fontId="76" fillId="0" borderId="0" xfId="44" applyFont="1" applyAlignment="1">
      <alignment horizontal="left"/>
    </xf>
    <xf numFmtId="7" fontId="53" fillId="0" borderId="0" xfId="44" applyNumberFormat="1" applyFont="1" applyAlignment="1">
      <alignment horizontal="right"/>
    </xf>
    <xf numFmtId="0" fontId="53" fillId="0" borderId="0" xfId="44" applyFont="1" applyAlignment="1">
      <alignment horizontal="right"/>
    </xf>
    <xf numFmtId="7" fontId="53" fillId="0" borderId="36" xfId="44" applyNumberFormat="1" applyFont="1" applyBorder="1"/>
    <xf numFmtId="0" fontId="45" fillId="0" borderId="24" xfId="44" applyFont="1" applyBorder="1" applyAlignment="1">
      <alignment horizontal="center"/>
    </xf>
    <xf numFmtId="181" fontId="0" fillId="8" borderId="19" xfId="0" applyNumberFormat="1" applyFill="1" applyBorder="1"/>
    <xf numFmtId="172" fontId="0" fillId="8" borderId="19" xfId="0" applyNumberFormat="1" applyFill="1" applyBorder="1"/>
    <xf numFmtId="172" fontId="45" fillId="8" borderId="19" xfId="0" applyNumberFormat="1" applyFont="1" applyFill="1" applyBorder="1"/>
    <xf numFmtId="0" fontId="0" fillId="26" borderId="0" xfId="0" applyFill="1"/>
    <xf numFmtId="182" fontId="0" fillId="26" borderId="0" xfId="0" applyNumberFormat="1" applyFill="1"/>
    <xf numFmtId="166" fontId="49" fillId="0" borderId="0" xfId="0" applyNumberFormat="1" applyFont="1" applyAlignment="1" applyProtection="1">
      <alignment horizontal="left"/>
      <protection hidden="1"/>
    </xf>
    <xf numFmtId="166" fontId="49" fillId="3" borderId="36" xfId="0" applyNumberFormat="1" applyFont="1" applyFill="1" applyBorder="1" applyAlignment="1" applyProtection="1">
      <alignment horizontal="center"/>
      <protection hidden="1"/>
    </xf>
    <xf numFmtId="0" fontId="67" fillId="0" borderId="0" xfId="39" applyFont="1" applyProtection="1">
      <protection hidden="1"/>
    </xf>
    <xf numFmtId="0" fontId="24" fillId="0" borderId="0" xfId="39" applyFont="1" applyProtection="1">
      <protection hidden="1"/>
    </xf>
    <xf numFmtId="0" fontId="25" fillId="0" borderId="0" xfId="39" applyFont="1" applyProtection="1">
      <protection hidden="1"/>
    </xf>
    <xf numFmtId="0" fontId="60" fillId="14" borderId="28" xfId="39" applyFont="1" applyFill="1" applyBorder="1" applyProtection="1">
      <protection hidden="1"/>
    </xf>
    <xf numFmtId="0" fontId="60" fillId="14" borderId="29" xfId="39" applyFont="1" applyFill="1" applyBorder="1" applyProtection="1">
      <protection hidden="1"/>
    </xf>
    <xf numFmtId="0" fontId="45" fillId="14" borderId="29" xfId="39" applyFont="1" applyFill="1" applyBorder="1" applyProtection="1">
      <protection hidden="1"/>
    </xf>
    <xf numFmtId="0" fontId="60" fillId="14" borderId="30" xfId="39" applyFont="1" applyFill="1" applyBorder="1" applyProtection="1">
      <protection hidden="1"/>
    </xf>
    <xf numFmtId="0" fontId="45" fillId="14" borderId="31" xfId="39" applyFont="1" applyFill="1" applyBorder="1" applyProtection="1">
      <protection hidden="1"/>
    </xf>
    <xf numFmtId="0" fontId="60" fillId="14" borderId="0" xfId="39" applyFont="1" applyFill="1" applyProtection="1">
      <protection hidden="1"/>
    </xf>
    <xf numFmtId="0" fontId="45" fillId="14" borderId="0" xfId="39" applyFont="1" applyFill="1" applyProtection="1">
      <protection hidden="1"/>
    </xf>
    <xf numFmtId="0" fontId="45" fillId="14" borderId="32" xfId="39" applyFont="1" applyFill="1" applyBorder="1" applyProtection="1">
      <protection hidden="1"/>
    </xf>
    <xf numFmtId="0" fontId="61" fillId="14" borderId="31" xfId="39" applyFont="1" applyFill="1" applyBorder="1" applyProtection="1">
      <protection hidden="1"/>
    </xf>
    <xf numFmtId="0" fontId="61" fillId="14" borderId="0" xfId="39" applyFont="1" applyFill="1" applyProtection="1">
      <protection hidden="1"/>
    </xf>
    <xf numFmtId="0" fontId="62" fillId="14" borderId="0" xfId="39" applyFont="1" applyFill="1" applyProtection="1">
      <protection hidden="1"/>
    </xf>
    <xf numFmtId="0" fontId="63" fillId="14" borderId="31" xfId="39" applyFont="1" applyFill="1" applyBorder="1" applyProtection="1">
      <protection hidden="1"/>
    </xf>
    <xf numFmtId="0" fontId="64" fillId="14" borderId="31" xfId="39" applyFont="1" applyFill="1" applyBorder="1" applyProtection="1">
      <protection hidden="1"/>
    </xf>
    <xf numFmtId="0" fontId="64" fillId="14" borderId="0" xfId="39" applyFont="1" applyFill="1" applyProtection="1">
      <protection hidden="1"/>
    </xf>
    <xf numFmtId="0" fontId="65" fillId="14" borderId="0" xfId="39" applyFont="1" applyFill="1" applyProtection="1">
      <protection hidden="1"/>
    </xf>
    <xf numFmtId="0" fontId="66" fillId="14" borderId="31" xfId="39" applyFont="1" applyFill="1" applyBorder="1" applyProtection="1">
      <protection hidden="1"/>
    </xf>
    <xf numFmtId="0" fontId="49" fillId="14" borderId="0" xfId="39" applyFont="1" applyFill="1" applyProtection="1">
      <protection hidden="1"/>
    </xf>
    <xf numFmtId="0" fontId="49" fillId="14" borderId="31" xfId="39" applyFont="1" applyFill="1" applyBorder="1" applyProtection="1">
      <protection hidden="1"/>
    </xf>
    <xf numFmtId="0" fontId="45" fillId="14" borderId="33" xfId="39" applyFont="1" applyFill="1" applyBorder="1" applyProtection="1">
      <protection hidden="1"/>
    </xf>
    <xf numFmtId="0" fontId="45" fillId="14" borderId="34" xfId="39" applyFont="1" applyFill="1" applyBorder="1" applyProtection="1">
      <protection hidden="1"/>
    </xf>
    <xf numFmtId="0" fontId="45" fillId="14" borderId="35" xfId="39" applyFont="1" applyFill="1" applyBorder="1" applyProtection="1">
      <protection hidden="1"/>
    </xf>
    <xf numFmtId="0" fontId="60" fillId="15" borderId="0" xfId="39" applyFont="1" applyFill="1" applyProtection="1">
      <protection hidden="1"/>
    </xf>
    <xf numFmtId="0" fontId="45" fillId="15" borderId="0" xfId="39" applyFont="1" applyFill="1" applyProtection="1">
      <protection hidden="1"/>
    </xf>
    <xf numFmtId="0" fontId="49" fillId="15" borderId="0" xfId="39" applyFont="1" applyFill="1" applyProtection="1">
      <protection hidden="1"/>
    </xf>
    <xf numFmtId="0" fontId="60" fillId="16" borderId="0" xfId="39" applyFont="1" applyFill="1" applyProtection="1">
      <protection hidden="1"/>
    </xf>
    <xf numFmtId="0" fontId="45" fillId="16" borderId="0" xfId="39" applyFont="1" applyFill="1" applyProtection="1">
      <protection hidden="1"/>
    </xf>
    <xf numFmtId="0" fontId="49" fillId="16" borderId="0" xfId="39" applyFont="1" applyFill="1" applyProtection="1">
      <protection hidden="1"/>
    </xf>
    <xf numFmtId="7" fontId="76" fillId="7" borderId="0" xfId="41" applyNumberFormat="1" applyFont="1" applyFill="1" applyAlignment="1">
      <alignment horizontal="center"/>
    </xf>
    <xf numFmtId="7" fontId="76" fillId="7" borderId="0" xfId="44" applyNumberFormat="1" applyFont="1" applyFill="1" applyAlignment="1">
      <alignment horizontal="center"/>
    </xf>
    <xf numFmtId="14" fontId="45" fillId="0" borderId="0" xfId="0" applyNumberFormat="1" applyFont="1" applyAlignment="1" applyProtection="1">
      <alignment horizontal="center"/>
      <protection hidden="1"/>
    </xf>
    <xf numFmtId="166" fontId="49" fillId="27" borderId="1" xfId="0" applyNumberFormat="1" applyFont="1" applyFill="1" applyBorder="1" applyAlignment="1" applyProtection="1">
      <alignment horizontal="center"/>
      <protection hidden="1"/>
    </xf>
    <xf numFmtId="170" fontId="49" fillId="0" borderId="0" xfId="2" applyNumberFormat="1" applyFont="1" applyFill="1" applyBorder="1" applyAlignment="1" applyProtection="1">
      <alignment horizontal="center"/>
      <protection hidden="1"/>
    </xf>
    <xf numFmtId="166" fontId="49" fillId="28" borderId="55" xfId="2" applyNumberFormat="1" applyFont="1" applyFill="1" applyBorder="1" applyAlignment="1" applyProtection="1">
      <alignment horizontal="center"/>
      <protection hidden="1"/>
    </xf>
    <xf numFmtId="166" fontId="10" fillId="28" borderId="24" xfId="2" applyNumberFormat="1" applyFont="1" applyFill="1" applyBorder="1" applyAlignment="1" applyProtection="1">
      <alignment horizontal="center"/>
      <protection hidden="1"/>
    </xf>
    <xf numFmtId="3" fontId="45" fillId="18" borderId="55" xfId="0" applyNumberFormat="1" applyFont="1" applyFill="1" applyBorder="1" applyAlignment="1" applyProtection="1">
      <alignment horizontal="center"/>
      <protection hidden="1"/>
    </xf>
    <xf numFmtId="7" fontId="76" fillId="7" borderId="58" xfId="41" applyNumberFormat="1" applyFont="1" applyFill="1" applyBorder="1" applyAlignment="1">
      <alignment horizontal="center"/>
    </xf>
    <xf numFmtId="7" fontId="76" fillId="0" borderId="40" xfId="44" applyNumberFormat="1" applyFont="1" applyBorder="1" applyAlignment="1">
      <alignment horizontal="center"/>
    </xf>
    <xf numFmtId="182" fontId="0" fillId="0" borderId="0" xfId="0" applyNumberFormat="1"/>
    <xf numFmtId="0" fontId="80" fillId="0" borderId="0" xfId="3" applyNumberFormat="1" applyFont="1" applyFill="1" applyBorder="1" applyAlignment="1" applyProtection="1">
      <protection hidden="1"/>
    </xf>
    <xf numFmtId="0" fontId="80" fillId="0" borderId="0" xfId="3" applyNumberFormat="1" applyFont="1" applyFill="1" applyBorder="1" applyAlignment="1" applyProtection="1">
      <alignment horizontal="right"/>
      <protection hidden="1"/>
    </xf>
    <xf numFmtId="0" fontId="29" fillId="0" borderId="36" xfId="41" applyFont="1" applyBorder="1" applyAlignment="1" applyProtection="1">
      <alignment horizontal="right"/>
      <protection hidden="1"/>
    </xf>
    <xf numFmtId="0" fontId="49" fillId="0" borderId="3" xfId="44" applyFont="1" applyBorder="1" applyAlignment="1" applyProtection="1">
      <alignment horizontal="center" vertical="center"/>
      <protection hidden="1"/>
    </xf>
    <xf numFmtId="0" fontId="49" fillId="0" borderId="16" xfId="44" applyFont="1" applyBorder="1" applyAlignment="1" applyProtection="1">
      <alignment horizontal="center" vertical="center"/>
      <protection hidden="1"/>
    </xf>
    <xf numFmtId="0" fontId="53" fillId="0" borderId="0" xfId="44" applyFont="1" applyAlignment="1">
      <alignment horizontal="center"/>
    </xf>
    <xf numFmtId="0" fontId="75" fillId="0" borderId="0" xfId="43" applyFont="1" applyAlignment="1">
      <alignment horizontal="left" vertical="top" wrapText="1"/>
    </xf>
    <xf numFmtId="0" fontId="76" fillId="0" borderId="0" xfId="43" applyFont="1" applyAlignment="1">
      <alignment horizontal="left" vertical="top" wrapText="1"/>
    </xf>
    <xf numFmtId="179" fontId="31" fillId="0" borderId="0" xfId="48" applyNumberFormat="1" applyFont="1" applyAlignment="1" applyProtection="1">
      <alignment horizontal="center"/>
      <protection hidden="1"/>
    </xf>
    <xf numFmtId="0" fontId="31" fillId="0" borderId="0" xfId="44" applyFont="1" applyAlignment="1" applyProtection="1">
      <alignment horizontal="center"/>
      <protection hidden="1"/>
    </xf>
    <xf numFmtId="167" fontId="45" fillId="0" borderId="5" xfId="0" applyNumberFormat="1" applyFont="1" applyBorder="1" applyAlignment="1" applyProtection="1">
      <alignment horizontal="left"/>
      <protection hidden="1"/>
    </xf>
  </cellXfs>
  <cellStyles count="52">
    <cellStyle name="Comma" xfId="1" builtinId="3"/>
    <cellStyle name="Comma 2" xfId="4" xr:uid="{00000000-0005-0000-0000-000001000000}"/>
    <cellStyle name="Comma 2 2" xfId="5" xr:uid="{00000000-0005-0000-0000-000002000000}"/>
    <cellStyle name="Comma 3" xfId="6" xr:uid="{00000000-0005-0000-0000-000003000000}"/>
    <cellStyle name="Comma 3 2" xfId="7" xr:uid="{00000000-0005-0000-0000-000004000000}"/>
    <cellStyle name="Comma 4" xfId="8" xr:uid="{00000000-0005-0000-0000-000005000000}"/>
    <cellStyle name="Comma 5" xfId="9" xr:uid="{00000000-0005-0000-0000-000006000000}"/>
    <cellStyle name="Comma 6" xfId="10" xr:uid="{00000000-0005-0000-0000-000007000000}"/>
    <cellStyle name="Comma 7" xfId="11" xr:uid="{00000000-0005-0000-0000-000008000000}"/>
    <cellStyle name="Currency" xfId="2" builtinId="4"/>
    <cellStyle name="Currency 2" xfId="12" xr:uid="{00000000-0005-0000-0000-00000A000000}"/>
    <cellStyle name="Currency 2 2" xfId="13" xr:uid="{00000000-0005-0000-0000-00000B000000}"/>
    <cellStyle name="Currency 2 2 2" xfId="14" xr:uid="{00000000-0005-0000-0000-00000C000000}"/>
    <cellStyle name="Currency 2 3" xfId="15" xr:uid="{00000000-0005-0000-0000-00000D000000}"/>
    <cellStyle name="Currency 3" xfId="16" xr:uid="{00000000-0005-0000-0000-00000E000000}"/>
    <cellStyle name="Currency 3 2" xfId="47" xr:uid="{00000000-0005-0000-0000-00000F000000}"/>
    <cellStyle name="Currency 4" xfId="17" xr:uid="{00000000-0005-0000-0000-000010000000}"/>
    <cellStyle name="Currency 5" xfId="18" xr:uid="{00000000-0005-0000-0000-000011000000}"/>
    <cellStyle name="Currency 6" xfId="48" xr:uid="{00000000-0005-0000-0000-000012000000}"/>
    <cellStyle name="Excel Built-in Normal 1" xfId="39" xr:uid="{00000000-0005-0000-0000-000013000000}"/>
    <cellStyle name="Hyperlink" xfId="3" builtinId="8"/>
    <cellStyle name="Hyperlink 2" xfId="40" xr:uid="{00000000-0005-0000-0000-000015000000}"/>
    <cellStyle name="Hyperlink 2 2" xfId="45" xr:uid="{00000000-0005-0000-0000-000016000000}"/>
    <cellStyle name="Normal" xfId="0" builtinId="0"/>
    <cellStyle name="Normal 10" xfId="51" xr:uid="{BD2A1DCA-BDD7-4431-B1FF-ECC710AD5E9C}"/>
    <cellStyle name="Normal 2" xfId="19" xr:uid="{00000000-0005-0000-0000-000018000000}"/>
    <cellStyle name="Normal 2 2" xfId="20" xr:uid="{00000000-0005-0000-0000-000019000000}"/>
    <cellStyle name="Normal 2 2 2" xfId="21" xr:uid="{00000000-0005-0000-0000-00001A000000}"/>
    <cellStyle name="Normal 2 3" xfId="44" xr:uid="{00000000-0005-0000-0000-00001B000000}"/>
    <cellStyle name="Normal 3" xfId="22" xr:uid="{00000000-0005-0000-0000-00001C000000}"/>
    <cellStyle name="Normal 4" xfId="23" xr:uid="{00000000-0005-0000-0000-00001D000000}"/>
    <cellStyle name="Normal 4 2" xfId="24" xr:uid="{00000000-0005-0000-0000-00001E000000}"/>
    <cellStyle name="Normal 5" xfId="25" xr:uid="{00000000-0005-0000-0000-00001F000000}"/>
    <cellStyle name="Normal 6" xfId="26" xr:uid="{00000000-0005-0000-0000-000020000000}"/>
    <cellStyle name="Normal 6 2" xfId="27" xr:uid="{00000000-0005-0000-0000-000021000000}"/>
    <cellStyle name="Normal 6 3" xfId="28" xr:uid="{00000000-0005-0000-0000-000022000000}"/>
    <cellStyle name="Normal 7" xfId="29" xr:uid="{00000000-0005-0000-0000-000023000000}"/>
    <cellStyle name="Normal 8" xfId="30" xr:uid="{00000000-0005-0000-0000-000024000000}"/>
    <cellStyle name="Normal 9" xfId="41" xr:uid="{00000000-0005-0000-0000-000025000000}"/>
    <cellStyle name="Normal 9 2" xfId="50" xr:uid="{00000000-0005-0000-0000-000026000000}"/>
    <cellStyle name="Normal_NEWCD" xfId="43" xr:uid="{00000000-0005-0000-0000-000027000000}"/>
    <cellStyle name="Normal_Sheet1" xfId="31" xr:uid="{00000000-0005-0000-0000-000028000000}"/>
    <cellStyle name="Normal_Sheet1 2" xfId="46" xr:uid="{00000000-0005-0000-0000-000029000000}"/>
    <cellStyle name="Percent 2" xfId="32" xr:uid="{00000000-0005-0000-0000-00002A000000}"/>
    <cellStyle name="Percent 3" xfId="33" xr:uid="{00000000-0005-0000-0000-00002B000000}"/>
    <cellStyle name="Percent 3 2" xfId="34" xr:uid="{00000000-0005-0000-0000-00002C000000}"/>
    <cellStyle name="Percent 3 2 2" xfId="35" xr:uid="{00000000-0005-0000-0000-00002D000000}"/>
    <cellStyle name="Percent 4" xfId="36" xr:uid="{00000000-0005-0000-0000-00002E000000}"/>
    <cellStyle name="Percent 5" xfId="37" xr:uid="{00000000-0005-0000-0000-00002F000000}"/>
    <cellStyle name="Percent 6" xfId="38" xr:uid="{00000000-0005-0000-0000-000030000000}"/>
    <cellStyle name="Percent 7" xfId="42" xr:uid="{00000000-0005-0000-0000-000031000000}"/>
    <cellStyle name="Percent 8" xfId="49" xr:uid="{00000000-0005-0000-0000-00003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DCDB"/>
      <rgbColor rgb="00FF0000"/>
      <rgbColor rgb="0000FF00"/>
      <rgbColor rgb="000000FF"/>
      <rgbColor rgb="00FFFF00"/>
      <rgbColor rgb="00FF00FF"/>
      <rgbColor rgb="0000FFFF"/>
      <rgbColor rgb="00800000"/>
      <rgbColor rgb="00008000"/>
      <rgbColor rgb="00000080"/>
      <rgbColor rgb="00808000"/>
      <rgbColor rgb="00800080"/>
      <rgbColor rgb="000066FF"/>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B8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mruColors>
      <color rgb="FFCCFFCC"/>
      <color rgb="FFCCFF99"/>
      <color rgb="FFFF66FF"/>
      <color rgb="FFFFCCFF"/>
      <color rgb="FFFFFFCC"/>
      <color rgb="FFFFCC66"/>
      <color rgb="FF0066FF"/>
      <color rgb="FF0099FF"/>
      <color rgb="FF33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20Private/0%20BY20/BY2020%20and%202021Q1/Logging/Copy%20of%20!FY21_R10CostGuide_4-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eary/Documents/CostCollection/BY16/Model%20Updates/Working%20Copies/FY17R10CostGuide_02-6-2017_T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fs.usda.gov/Users/dpoleary/Documents/CostCollection/BY16/Model%20Updates/Working%20Copies/FY17R10CostGuide_02-6-2017_T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poleary/Documents/CostCollection/BY16/Model%20Updates/Working%20Copies/Mobe%20and%20Camp/FY18_R10CostGuide_3-2-2018_TS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fs.usda.gov/Users/dpoleary/Documents/CostCollection/BY16/Model%20Updates/Working%20Copies/Mobe%20and%20Camp/FY18_R10CostGuide_3-2-2018_T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poleary/Documents/RV%20Programs/20190801%202019Q2/OFFICIAL%20BY18%20R10%20Logging%20Cost%20Calculator%20801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poleary/Documents/My%20Received%20Files/WI%209inch%20BY18%20Logging%20Cost%20Calculator%201113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Labor Rates"/>
      <sheetName val="Detailed Equipment"/>
      <sheetName val="EQUIPMENT &amp; WAGE RATES"/>
      <sheetName val="Misc"/>
      <sheetName val="COST DEV."/>
      <sheetName val="TNF Road Assem CALC SHEET"/>
      <sheetName val="ENGR. ESTI."/>
      <sheetName val="PW SCH. ITEMS"/>
      <sheetName val="TS SCH. ITEMS"/>
      <sheetName val="progess report"/>
      <sheetName val="A7 Table"/>
      <sheetName val="summary  sch of items"/>
    </sheetNames>
    <sheetDataSet>
      <sheetData sheetId="0">
        <row r="5">
          <cell r="B5" t="str">
            <v>Labor Classification</v>
          </cell>
        </row>
      </sheetData>
      <sheetData sheetId="1">
        <row r="6">
          <cell r="A6" t="str">
            <v>Backhoe, Case 580</v>
          </cell>
        </row>
      </sheetData>
      <sheetData sheetId="2"/>
      <sheetData sheetId="3" refreshError="1"/>
      <sheetData sheetId="4">
        <row r="58">
          <cell r="I58">
            <v>7.01</v>
          </cell>
        </row>
        <row r="60">
          <cell r="F60">
            <v>-1.02E-4</v>
          </cell>
        </row>
        <row r="69">
          <cell r="G69">
            <v>1.1000000000000001</v>
          </cell>
        </row>
        <row r="81">
          <cell r="J81">
            <v>28813</v>
          </cell>
        </row>
        <row r="113">
          <cell r="J113">
            <v>141416.82999999999</v>
          </cell>
        </row>
        <row r="125">
          <cell r="J125">
            <v>4306.53</v>
          </cell>
        </row>
        <row r="129">
          <cell r="J129">
            <v>4733.8599999999997</v>
          </cell>
        </row>
        <row r="145">
          <cell r="J145">
            <v>3389.02</v>
          </cell>
        </row>
        <row r="161">
          <cell r="J161">
            <v>681.26</v>
          </cell>
        </row>
        <row r="179">
          <cell r="J179">
            <v>11834.71</v>
          </cell>
        </row>
        <row r="211">
          <cell r="J211">
            <v>5</v>
          </cell>
        </row>
        <row r="222">
          <cell r="J222">
            <v>54.14</v>
          </cell>
        </row>
        <row r="228">
          <cell r="J228">
            <v>26.24</v>
          </cell>
        </row>
        <row r="233">
          <cell r="J233">
            <v>81.78</v>
          </cell>
        </row>
        <row r="246">
          <cell r="J246">
            <v>4911.74</v>
          </cell>
        </row>
        <row r="250">
          <cell r="J250">
            <v>5399.13</v>
          </cell>
        </row>
        <row r="273">
          <cell r="J273">
            <v>501.29</v>
          </cell>
        </row>
        <row r="300">
          <cell r="J300">
            <v>4507.41</v>
          </cell>
        </row>
        <row r="322">
          <cell r="J322">
            <v>10485.4</v>
          </cell>
        </row>
        <row r="336">
          <cell r="J336">
            <v>2.48</v>
          </cell>
        </row>
        <row r="340">
          <cell r="J340">
            <v>2.73</v>
          </cell>
        </row>
        <row r="368">
          <cell r="J368">
            <v>14.65</v>
          </cell>
        </row>
        <row r="372">
          <cell r="J372">
            <v>16.11</v>
          </cell>
        </row>
        <row r="392">
          <cell r="J392">
            <v>20.13</v>
          </cell>
        </row>
        <row r="396">
          <cell r="J396">
            <v>22.12</v>
          </cell>
        </row>
        <row r="408">
          <cell r="J408">
            <v>8</v>
          </cell>
        </row>
        <row r="440">
          <cell r="J440">
            <v>90734.720000000001</v>
          </cell>
        </row>
        <row r="454">
          <cell r="J454">
            <v>36311.9</v>
          </cell>
        </row>
        <row r="457">
          <cell r="J457">
            <v>8.02</v>
          </cell>
        </row>
        <row r="461">
          <cell r="J461">
            <v>8.81</v>
          </cell>
        </row>
        <row r="480">
          <cell r="J480">
            <v>9.24</v>
          </cell>
        </row>
        <row r="526">
          <cell r="J526">
            <v>4.5599999999999996</v>
          </cell>
        </row>
        <row r="543">
          <cell r="J543">
            <v>9.1199999999999992</v>
          </cell>
        </row>
        <row r="572">
          <cell r="J572">
            <v>6918.13</v>
          </cell>
        </row>
        <row r="586">
          <cell r="J586">
            <v>81.73</v>
          </cell>
        </row>
        <row r="615">
          <cell r="J615">
            <v>44574.61</v>
          </cell>
        </row>
        <row r="744">
          <cell r="J744">
            <v>48.3</v>
          </cell>
        </row>
        <row r="813">
          <cell r="J813">
            <v>38.68</v>
          </cell>
        </row>
        <row r="832">
          <cell r="J832">
            <v>5973.01</v>
          </cell>
        </row>
        <row r="872">
          <cell r="J872">
            <v>22.17</v>
          </cell>
        </row>
        <row r="876">
          <cell r="J876">
            <v>11.98</v>
          </cell>
        </row>
        <row r="911">
          <cell r="J911">
            <v>41.21</v>
          </cell>
        </row>
        <row r="916">
          <cell r="J916">
            <v>22.28</v>
          </cell>
        </row>
        <row r="934">
          <cell r="J934">
            <v>11077.56</v>
          </cell>
        </row>
        <row r="938">
          <cell r="J938">
            <v>12176.79</v>
          </cell>
        </row>
        <row r="1051">
          <cell r="J1051">
            <v>4325.93</v>
          </cell>
        </row>
        <row r="1129">
          <cell r="J1129">
            <v>66195.17</v>
          </cell>
        </row>
        <row r="1163">
          <cell r="J1163">
            <v>164.33</v>
          </cell>
        </row>
        <row r="1200">
          <cell r="J1200">
            <v>211.69</v>
          </cell>
        </row>
        <row r="1253">
          <cell r="H1253">
            <v>0</v>
          </cell>
        </row>
        <row r="1254">
          <cell r="H1254">
            <v>0</v>
          </cell>
        </row>
        <row r="1297">
          <cell r="J1297">
            <v>52.24</v>
          </cell>
        </row>
        <row r="1341">
          <cell r="J1341">
            <v>65.16</v>
          </cell>
        </row>
        <row r="1388">
          <cell r="J1388">
            <v>124.42</v>
          </cell>
        </row>
        <row r="1431">
          <cell r="J1431">
            <v>208.56</v>
          </cell>
        </row>
        <row r="1475">
          <cell r="J1475">
            <v>381.03</v>
          </cell>
        </row>
        <row r="1518">
          <cell r="J1518">
            <v>523.74</v>
          </cell>
        </row>
        <row r="1585">
          <cell r="J1585">
            <v>697.36</v>
          </cell>
        </row>
        <row r="1614">
          <cell r="J1614">
            <v>4164.46</v>
          </cell>
        </row>
        <row r="1641">
          <cell r="J1641">
            <v>745.07</v>
          </cell>
        </row>
        <row r="1645">
          <cell r="J1645">
            <v>819.01</v>
          </cell>
        </row>
        <row r="1679">
          <cell r="J1679">
            <v>1657.92</v>
          </cell>
        </row>
      </sheetData>
      <sheetData sheetId="5" refreshError="1"/>
      <sheetData sheetId="6">
        <row r="12">
          <cell r="C12">
            <v>1</v>
          </cell>
        </row>
        <row r="14">
          <cell r="C14">
            <v>1</v>
          </cell>
        </row>
        <row r="16">
          <cell r="C16">
            <v>1</v>
          </cell>
        </row>
        <row r="18">
          <cell r="C18">
            <v>1</v>
          </cell>
        </row>
        <row r="20">
          <cell r="C20">
            <v>1</v>
          </cell>
        </row>
        <row r="22">
          <cell r="C22">
            <v>1</v>
          </cell>
        </row>
        <row r="24">
          <cell r="C24">
            <v>1</v>
          </cell>
        </row>
        <row r="26">
          <cell r="C26">
            <v>1</v>
          </cell>
        </row>
        <row r="28">
          <cell r="C28">
            <v>1</v>
          </cell>
        </row>
        <row r="30">
          <cell r="C30">
            <v>1</v>
          </cell>
        </row>
        <row r="32">
          <cell r="C32">
            <v>1</v>
          </cell>
        </row>
        <row r="34">
          <cell r="C34">
            <v>1</v>
          </cell>
        </row>
        <row r="36">
          <cell r="C36">
            <v>1</v>
          </cell>
        </row>
        <row r="38">
          <cell r="C38">
            <v>1</v>
          </cell>
        </row>
        <row r="40">
          <cell r="C40">
            <v>1</v>
          </cell>
        </row>
        <row r="42">
          <cell r="C42">
            <v>1</v>
          </cell>
        </row>
        <row r="44">
          <cell r="C44">
            <v>1</v>
          </cell>
        </row>
        <row r="46">
          <cell r="C46">
            <v>1</v>
          </cell>
        </row>
        <row r="48">
          <cell r="C48">
            <v>1</v>
          </cell>
        </row>
        <row r="50">
          <cell r="C50">
            <v>1</v>
          </cell>
        </row>
        <row r="52">
          <cell r="C52">
            <v>1</v>
          </cell>
        </row>
        <row r="54">
          <cell r="C54">
            <v>1</v>
          </cell>
        </row>
        <row r="56">
          <cell r="C56">
            <v>1</v>
          </cell>
        </row>
        <row r="58">
          <cell r="C58">
            <v>1</v>
          </cell>
        </row>
        <row r="60">
          <cell r="C60">
            <v>1</v>
          </cell>
        </row>
        <row r="62">
          <cell r="C62">
            <v>1</v>
          </cell>
        </row>
        <row r="64">
          <cell r="C64">
            <v>1</v>
          </cell>
        </row>
        <row r="66">
          <cell r="C66">
            <v>1</v>
          </cell>
        </row>
        <row r="68">
          <cell r="C68">
            <v>1</v>
          </cell>
        </row>
        <row r="70">
          <cell r="C70">
            <v>1</v>
          </cell>
        </row>
        <row r="72">
          <cell r="C72">
            <v>1</v>
          </cell>
        </row>
        <row r="74">
          <cell r="C74">
            <v>1</v>
          </cell>
        </row>
        <row r="77">
          <cell r="C77">
            <v>1</v>
          </cell>
        </row>
        <row r="80">
          <cell r="C80">
            <v>1</v>
          </cell>
        </row>
        <row r="82">
          <cell r="C82">
            <v>1</v>
          </cell>
        </row>
        <row r="84">
          <cell r="C84">
            <v>1</v>
          </cell>
        </row>
        <row r="89">
          <cell r="C89">
            <v>1</v>
          </cell>
        </row>
        <row r="94">
          <cell r="C94">
            <v>1</v>
          </cell>
        </row>
        <row r="99">
          <cell r="C99">
            <v>1</v>
          </cell>
        </row>
        <row r="104">
          <cell r="C104">
            <v>1</v>
          </cell>
        </row>
        <row r="109">
          <cell r="C109">
            <v>1</v>
          </cell>
        </row>
        <row r="114">
          <cell r="C114">
            <v>1</v>
          </cell>
        </row>
        <row r="119">
          <cell r="C119">
            <v>1</v>
          </cell>
        </row>
        <row r="121">
          <cell r="C121">
            <v>1</v>
          </cell>
        </row>
        <row r="123">
          <cell r="C123">
            <v>1</v>
          </cell>
        </row>
      </sheetData>
      <sheetData sheetId="7" refreshError="1"/>
      <sheetData sheetId="8"/>
      <sheetData sheetId="9">
        <row r="5">
          <cell r="L5">
            <v>301821.98</v>
          </cell>
        </row>
        <row r="6">
          <cell r="P6"/>
        </row>
        <row r="128">
          <cell r="R128">
            <v>683.79</v>
          </cell>
          <cell r="S128">
            <v>415960.32000000001</v>
          </cell>
          <cell r="T128">
            <v>169948.96</v>
          </cell>
          <cell r="U128">
            <v>16183.35</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Labor Rates"/>
      <sheetName val="Detailed Equipment"/>
      <sheetName val="EQUIPMENT &amp; WAGE RATES"/>
      <sheetName val="Misc"/>
      <sheetName val="COST DEV."/>
      <sheetName val="LINEAR GRADING CALC SHEET"/>
      <sheetName val="ENGR. ESTI."/>
      <sheetName val="PW SCH. ITEMS"/>
      <sheetName val="TS SCH. ITEMS"/>
      <sheetName val="progess report"/>
      <sheetName val="A7 Table"/>
      <sheetName val="summary  sch of items"/>
    </sheetNames>
    <sheetDataSet>
      <sheetData sheetId="0"/>
      <sheetData sheetId="1"/>
      <sheetData sheetId="2">
        <row r="12">
          <cell r="C12">
            <v>131.62</v>
          </cell>
          <cell r="G12">
            <v>26.99</v>
          </cell>
        </row>
        <row r="15">
          <cell r="C15">
            <v>125.47</v>
          </cell>
          <cell r="G15">
            <v>25.66</v>
          </cell>
        </row>
        <row r="16">
          <cell r="C16">
            <v>91.8</v>
          </cell>
          <cell r="G16">
            <v>25.66</v>
          </cell>
        </row>
        <row r="17">
          <cell r="C17">
            <v>71.69</v>
          </cell>
          <cell r="G17">
            <v>24.16</v>
          </cell>
        </row>
        <row r="19">
          <cell r="C19">
            <v>61.39</v>
          </cell>
          <cell r="G19">
            <v>22.03</v>
          </cell>
        </row>
        <row r="20">
          <cell r="C20">
            <v>120.75</v>
          </cell>
          <cell r="G20">
            <v>49.44</v>
          </cell>
        </row>
        <row r="27">
          <cell r="C27">
            <v>69.099999999999994</v>
          </cell>
          <cell r="G27">
            <v>28.83</v>
          </cell>
        </row>
        <row r="32">
          <cell r="C32">
            <v>2.73</v>
          </cell>
        </row>
        <row r="48">
          <cell r="G48">
            <v>36.729999999999997</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Labor Rates"/>
      <sheetName val="Detailed Equipment"/>
      <sheetName val="EQUIPMENT &amp; WAGE RATES"/>
      <sheetName val="Misc"/>
      <sheetName val="COST DEV."/>
      <sheetName val="LINEAR GRADING CALC SHEET"/>
      <sheetName val="ENGR. ESTI."/>
      <sheetName val="PW SCH. ITEMS"/>
      <sheetName val="TS SCH. ITEMS"/>
      <sheetName val="progess report"/>
      <sheetName val="A7 Table"/>
      <sheetName val="summary  sch of items"/>
    </sheetNames>
    <sheetDataSet>
      <sheetData sheetId="0"/>
      <sheetData sheetId="1"/>
      <sheetData sheetId="2">
        <row r="12">
          <cell r="C12">
            <v>131.62</v>
          </cell>
          <cell r="G12">
            <v>26.99</v>
          </cell>
        </row>
        <row r="15">
          <cell r="C15">
            <v>125.47</v>
          </cell>
          <cell r="G15">
            <v>25.66</v>
          </cell>
        </row>
        <row r="16">
          <cell r="C16">
            <v>91.8</v>
          </cell>
          <cell r="G16">
            <v>25.66</v>
          </cell>
        </row>
        <row r="17">
          <cell r="C17">
            <v>71.69</v>
          </cell>
          <cell r="G17">
            <v>24.16</v>
          </cell>
        </row>
        <row r="19">
          <cell r="C19">
            <v>61.39</v>
          </cell>
          <cell r="G19">
            <v>22.03</v>
          </cell>
        </row>
        <row r="20">
          <cell r="C20">
            <v>120.75</v>
          </cell>
          <cell r="G20">
            <v>49.44</v>
          </cell>
        </row>
        <row r="27">
          <cell r="C27">
            <v>69.099999999999994</v>
          </cell>
          <cell r="G27">
            <v>28.83</v>
          </cell>
        </row>
        <row r="32">
          <cell r="C32">
            <v>2.73</v>
          </cell>
        </row>
        <row r="48">
          <cell r="G48">
            <v>36.729999999999997</v>
          </cell>
        </row>
      </sheetData>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Labor Rates"/>
      <sheetName val="Detailed Equipment"/>
      <sheetName val="EQUIPMENT &amp; WAGE RATES"/>
      <sheetName val="Misc"/>
      <sheetName val="COST DEV."/>
      <sheetName val="LINEAR GRADING CALC SHEET"/>
      <sheetName val="ENGR. ESTI."/>
      <sheetName val="PW SCH. ITEMS"/>
      <sheetName val="TS SCH. ITEMS"/>
      <sheetName val="progess report"/>
      <sheetName val="A7 Table"/>
      <sheetName val="summary  sch of items"/>
    </sheetNames>
    <sheetDataSet>
      <sheetData sheetId="0"/>
      <sheetData sheetId="1"/>
      <sheetData sheetId="2">
        <row r="12">
          <cell r="E12">
            <v>30.46</v>
          </cell>
        </row>
        <row r="15">
          <cell r="E15">
            <v>28.96</v>
          </cell>
        </row>
        <row r="16">
          <cell r="E16">
            <v>28.96</v>
          </cell>
        </row>
        <row r="17">
          <cell r="E17">
            <v>27.24</v>
          </cell>
        </row>
        <row r="19">
          <cell r="E19">
            <v>24.84</v>
          </cell>
        </row>
        <row r="20">
          <cell r="E20">
            <v>55.73</v>
          </cell>
        </row>
        <row r="27">
          <cell r="E27">
            <v>31.82</v>
          </cell>
        </row>
        <row r="48">
          <cell r="E48">
            <v>41.45</v>
          </cell>
        </row>
      </sheetData>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Labor Rates"/>
      <sheetName val="Detailed Equipment"/>
      <sheetName val="EQUIPMENT &amp; WAGE RATES"/>
      <sheetName val="Misc"/>
      <sheetName val="COST DEV."/>
      <sheetName val="LINEAR GRADING CALC SHEET"/>
      <sheetName val="ENGR. ESTI."/>
      <sheetName val="PW SCH. ITEMS"/>
      <sheetName val="TS SCH. ITEMS"/>
      <sheetName val="progess report"/>
      <sheetName val="A7 Table"/>
      <sheetName val="summary  sch of items"/>
    </sheetNames>
    <sheetDataSet>
      <sheetData sheetId="0"/>
      <sheetData sheetId="1"/>
      <sheetData sheetId="2">
        <row r="12">
          <cell r="E12">
            <v>30.46</v>
          </cell>
        </row>
        <row r="15">
          <cell r="E15">
            <v>28.96</v>
          </cell>
        </row>
        <row r="16">
          <cell r="E16">
            <v>28.96</v>
          </cell>
        </row>
        <row r="17">
          <cell r="E17">
            <v>27.24</v>
          </cell>
        </row>
        <row r="19">
          <cell r="E19">
            <v>24.84</v>
          </cell>
        </row>
        <row r="20">
          <cell r="E20">
            <v>55.73</v>
          </cell>
        </row>
        <row r="27">
          <cell r="E27">
            <v>31.82</v>
          </cell>
        </row>
        <row r="48">
          <cell r="E48">
            <v>41.45</v>
          </cell>
        </row>
      </sheetData>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 "/>
      <sheetName val="Tow"/>
      <sheetName val="Haul RTT"/>
      <sheetName val="Stevedore"/>
      <sheetName val="ConvEquipMobe"/>
      <sheetName val="OG stump-to-truck"/>
      <sheetName val="Instructions YG"/>
      <sheetName val="YG stump-to-truck"/>
      <sheetName val="Appraiser Notes"/>
      <sheetName val="Conv Mobe Costs"/>
      <sheetName val="droplist"/>
      <sheetName val="1) YG Cost Inputs"/>
      <sheetName val="Hrly Costs--Mob. Eq."/>
      <sheetName val="Hrly Costs--Ydrs"/>
      <sheetName val="Daily Side Costs"/>
      <sheetName val="Conven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p"/>
      <sheetName val="Tow"/>
      <sheetName val="Haul RTT"/>
      <sheetName val="Stevedore"/>
      <sheetName val="ConvEquipMobe"/>
      <sheetName val="OG stump-to-truck"/>
      <sheetName val="Instructions YG"/>
      <sheetName val="YG stump-to-truck"/>
      <sheetName val="Appraiser Notes"/>
      <sheetName val="Conv Mobe Costs"/>
      <sheetName val="droplist"/>
      <sheetName val="1) YG Cost Inputs"/>
      <sheetName val="Hrly Costs--Mob. Eq."/>
      <sheetName val="Hrly Costs--Ydrs"/>
      <sheetName val="Daily Side Costs"/>
      <sheetName val="Conven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niel.oleary@usda.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FFCC"/>
    <pageSetUpPr fitToPage="1"/>
  </sheetPr>
  <dimension ref="A1:I69"/>
  <sheetViews>
    <sheetView tabSelected="1" zoomScale="90" zoomScaleNormal="90" workbookViewId="0">
      <selection activeCell="B5" sqref="B5"/>
    </sheetView>
  </sheetViews>
  <sheetFormatPr defaultColWidth="8.7109375" defaultRowHeight="12.75" x14ac:dyDescent="0.2"/>
  <cols>
    <col min="1" max="1" width="19.7109375" style="2" customWidth="1"/>
    <col min="2" max="2" width="27.7109375" style="2" customWidth="1"/>
    <col min="3" max="3" width="13.28515625" style="2" customWidth="1"/>
    <col min="4" max="5" width="13.7109375" style="2" customWidth="1"/>
    <col min="6" max="6" width="15.7109375" style="2" customWidth="1"/>
    <col min="7" max="7" width="28.42578125" style="2" customWidth="1"/>
    <col min="8" max="8" width="10.28515625" style="2" customWidth="1"/>
    <col min="9" max="9" width="11.7109375" style="2" customWidth="1"/>
    <col min="10" max="16384" width="8.7109375" style="2"/>
  </cols>
  <sheetData>
    <row r="1" spans="1:9" ht="18" x14ac:dyDescent="0.25">
      <c r="A1" s="47" t="s">
        <v>15</v>
      </c>
      <c r="F1" s="265">
        <v>45968</v>
      </c>
    </row>
    <row r="2" spans="1:9" x14ac:dyDescent="0.2">
      <c r="D2" s="311"/>
      <c r="E2" s="474"/>
      <c r="F2" s="475" t="s">
        <v>579</v>
      </c>
      <c r="G2" s="40"/>
    </row>
    <row r="3" spans="1:9" ht="14.25" x14ac:dyDescent="0.2">
      <c r="A3" s="276" t="s">
        <v>16</v>
      </c>
      <c r="G3" s="40"/>
    </row>
    <row r="4" spans="1:9" ht="13.15" customHeight="1" x14ac:dyDescent="0.25">
      <c r="A4" s="3"/>
    </row>
    <row r="5" spans="1:9" ht="15" x14ac:dyDescent="0.25">
      <c r="A5" s="277" t="s">
        <v>469</v>
      </c>
      <c r="B5" s="278"/>
      <c r="I5" s="4"/>
    </row>
    <row r="6" spans="1:9" ht="15" x14ac:dyDescent="0.25">
      <c r="A6" s="279" t="s">
        <v>17</v>
      </c>
      <c r="B6" s="280"/>
      <c r="I6" s="4"/>
    </row>
    <row r="7" spans="1:9" x14ac:dyDescent="0.2">
      <c r="B7" s="48"/>
      <c r="I7" s="4"/>
    </row>
    <row r="8" spans="1:9" ht="30" x14ac:dyDescent="0.25">
      <c r="A8" s="237"/>
      <c r="B8" s="281" t="s">
        <v>19</v>
      </c>
      <c r="C8" s="282" t="s">
        <v>20</v>
      </c>
      <c r="D8" s="282" t="s">
        <v>21</v>
      </c>
      <c r="E8" s="49"/>
      <c r="G8" s="5"/>
    </row>
    <row r="9" spans="1:9" ht="15" x14ac:dyDescent="0.25">
      <c r="A9" s="283" t="s">
        <v>22</v>
      </c>
      <c r="B9" s="284">
        <f>B62</f>
        <v>0</v>
      </c>
      <c r="C9" s="285">
        <f>F69</f>
        <v>0</v>
      </c>
      <c r="D9" s="466" t="str">
        <f>IF(B6=0,"-",112/IF(B6="OG",4.11,IF(B6="YG",4.46,4.28))*C9)</f>
        <v>-</v>
      </c>
      <c r="F9" s="50"/>
      <c r="G9" s="4"/>
    </row>
    <row r="11" spans="1:9" ht="45" x14ac:dyDescent="0.2">
      <c r="A11" s="286" t="s">
        <v>23</v>
      </c>
      <c r="B11" s="286" t="s">
        <v>470</v>
      </c>
      <c r="C11" s="286" t="s">
        <v>471</v>
      </c>
      <c r="D11" s="286" t="s">
        <v>472</v>
      </c>
      <c r="E11" s="286" t="s">
        <v>24</v>
      </c>
      <c r="F11" s="286" t="s">
        <v>25</v>
      </c>
      <c r="I11" s="11"/>
    </row>
    <row r="12" spans="1:9" ht="13.5" customHeight="1" x14ac:dyDescent="0.2">
      <c r="A12" s="287"/>
      <c r="B12" s="288"/>
      <c r="C12" s="289"/>
      <c r="D12" s="289"/>
      <c r="E12" s="290" t="str">
        <f t="shared" ref="E12:E53" si="0">IF(B12=0," ",C12*(B12/$B$62))</f>
        <v xml:space="preserve"> </v>
      </c>
      <c r="F12" s="290" t="str">
        <f t="shared" ref="F12:F53" si="1">IF(B12=0," ",D12*(E12/$E$62))</f>
        <v xml:space="preserve"> </v>
      </c>
      <c r="H12" s="51"/>
    </row>
    <row r="13" spans="1:9" ht="13.5" customHeight="1" x14ac:dyDescent="0.2">
      <c r="A13" s="287"/>
      <c r="B13" s="288"/>
      <c r="C13" s="289"/>
      <c r="D13" s="289"/>
      <c r="E13" s="290" t="str">
        <f t="shared" si="0"/>
        <v xml:space="preserve"> </v>
      </c>
      <c r="F13" s="290" t="str">
        <f t="shared" si="1"/>
        <v xml:space="preserve"> </v>
      </c>
      <c r="H13" s="51"/>
    </row>
    <row r="14" spans="1:9" ht="13.5" customHeight="1" x14ac:dyDescent="0.2">
      <c r="A14" s="287"/>
      <c r="B14" s="288"/>
      <c r="C14" s="289"/>
      <c r="D14" s="289"/>
      <c r="E14" s="290" t="str">
        <f t="shared" si="0"/>
        <v xml:space="preserve"> </v>
      </c>
      <c r="F14" s="290" t="str">
        <f t="shared" si="1"/>
        <v xml:space="preserve"> </v>
      </c>
      <c r="H14" s="51"/>
    </row>
    <row r="15" spans="1:9" ht="13.5" customHeight="1" x14ac:dyDescent="0.2">
      <c r="A15" s="287"/>
      <c r="B15" s="288"/>
      <c r="C15" s="289"/>
      <c r="D15" s="289"/>
      <c r="E15" s="290" t="str">
        <f t="shared" si="0"/>
        <v xml:space="preserve"> </v>
      </c>
      <c r="F15" s="290" t="str">
        <f t="shared" si="1"/>
        <v xml:space="preserve"> </v>
      </c>
      <c r="H15" s="51"/>
    </row>
    <row r="16" spans="1:9" ht="13.5" customHeight="1" x14ac:dyDescent="0.2">
      <c r="A16" s="287"/>
      <c r="B16" s="288"/>
      <c r="C16" s="289"/>
      <c r="D16" s="289"/>
      <c r="E16" s="290" t="str">
        <f t="shared" si="0"/>
        <v xml:space="preserve"> </v>
      </c>
      <c r="F16" s="290" t="str">
        <f t="shared" si="1"/>
        <v xml:space="preserve"> </v>
      </c>
      <c r="H16" s="51"/>
    </row>
    <row r="17" spans="1:8" ht="13.5" customHeight="1" x14ac:dyDescent="0.2">
      <c r="A17" s="287"/>
      <c r="B17" s="288"/>
      <c r="C17" s="289"/>
      <c r="D17" s="289"/>
      <c r="E17" s="290" t="str">
        <f t="shared" si="0"/>
        <v xml:space="preserve"> </v>
      </c>
      <c r="F17" s="290" t="str">
        <f t="shared" si="1"/>
        <v xml:space="preserve"> </v>
      </c>
      <c r="H17" s="51"/>
    </row>
    <row r="18" spans="1:8" ht="13.5" customHeight="1" x14ac:dyDescent="0.2">
      <c r="A18" s="291"/>
      <c r="B18" s="288"/>
      <c r="C18" s="289"/>
      <c r="D18" s="289"/>
      <c r="E18" s="290" t="str">
        <f t="shared" si="0"/>
        <v xml:space="preserve"> </v>
      </c>
      <c r="F18" s="290" t="str">
        <f t="shared" si="1"/>
        <v xml:space="preserve"> </v>
      </c>
      <c r="H18" s="51"/>
    </row>
    <row r="19" spans="1:8" ht="13.5" customHeight="1" x14ac:dyDescent="0.2">
      <c r="A19" s="291"/>
      <c r="B19" s="288"/>
      <c r="C19" s="289"/>
      <c r="D19" s="289"/>
      <c r="E19" s="290" t="str">
        <f t="shared" si="0"/>
        <v xml:space="preserve"> </v>
      </c>
      <c r="F19" s="290" t="str">
        <f t="shared" si="1"/>
        <v xml:space="preserve"> </v>
      </c>
      <c r="H19" s="51"/>
    </row>
    <row r="20" spans="1:8" ht="13.5" customHeight="1" x14ac:dyDescent="0.2">
      <c r="A20" s="291"/>
      <c r="B20" s="288"/>
      <c r="C20" s="289"/>
      <c r="D20" s="289"/>
      <c r="E20" s="290" t="str">
        <f t="shared" si="0"/>
        <v xml:space="preserve"> </v>
      </c>
      <c r="F20" s="290" t="str">
        <f t="shared" si="1"/>
        <v xml:space="preserve"> </v>
      </c>
      <c r="H20" s="51"/>
    </row>
    <row r="21" spans="1:8" ht="13.5" customHeight="1" x14ac:dyDescent="0.2">
      <c r="A21" s="291"/>
      <c r="B21" s="288"/>
      <c r="C21" s="289"/>
      <c r="D21" s="289"/>
      <c r="E21" s="290" t="str">
        <f t="shared" si="0"/>
        <v xml:space="preserve"> </v>
      </c>
      <c r="F21" s="290" t="str">
        <f t="shared" si="1"/>
        <v xml:space="preserve"> </v>
      </c>
      <c r="H21" s="51"/>
    </row>
    <row r="22" spans="1:8" ht="13.5" customHeight="1" x14ac:dyDescent="0.2">
      <c r="A22" s="291"/>
      <c r="B22" s="288"/>
      <c r="C22" s="289"/>
      <c r="D22" s="289"/>
      <c r="E22" s="290" t="str">
        <f t="shared" si="0"/>
        <v xml:space="preserve"> </v>
      </c>
      <c r="F22" s="290" t="str">
        <f t="shared" si="1"/>
        <v xml:space="preserve"> </v>
      </c>
      <c r="H22" s="51"/>
    </row>
    <row r="23" spans="1:8" ht="13.5" customHeight="1" x14ac:dyDescent="0.2">
      <c r="A23" s="291"/>
      <c r="B23" s="288"/>
      <c r="C23" s="289"/>
      <c r="D23" s="289"/>
      <c r="E23" s="290" t="str">
        <f t="shared" si="0"/>
        <v xml:space="preserve"> </v>
      </c>
      <c r="F23" s="290" t="str">
        <f t="shared" si="1"/>
        <v xml:space="preserve"> </v>
      </c>
      <c r="H23" s="51"/>
    </row>
    <row r="24" spans="1:8" ht="13.5" customHeight="1" x14ac:dyDescent="0.2">
      <c r="A24" s="291"/>
      <c r="B24" s="288"/>
      <c r="C24" s="289"/>
      <c r="D24" s="289"/>
      <c r="E24" s="290" t="str">
        <f t="shared" si="0"/>
        <v xml:space="preserve"> </v>
      </c>
      <c r="F24" s="290" t="str">
        <f t="shared" si="1"/>
        <v xml:space="preserve"> </v>
      </c>
      <c r="H24" s="51"/>
    </row>
    <row r="25" spans="1:8" ht="13.5" customHeight="1" x14ac:dyDescent="0.2">
      <c r="A25" s="291"/>
      <c r="B25" s="288"/>
      <c r="C25" s="289"/>
      <c r="D25" s="289"/>
      <c r="E25" s="290" t="str">
        <f t="shared" si="0"/>
        <v xml:space="preserve"> </v>
      </c>
      <c r="F25" s="290" t="str">
        <f t="shared" si="1"/>
        <v xml:space="preserve"> </v>
      </c>
      <c r="H25" s="51"/>
    </row>
    <row r="26" spans="1:8" ht="13.5" customHeight="1" x14ac:dyDescent="0.2">
      <c r="A26" s="291"/>
      <c r="B26" s="288"/>
      <c r="C26" s="289"/>
      <c r="D26" s="289"/>
      <c r="E26" s="290" t="str">
        <f t="shared" si="0"/>
        <v xml:space="preserve"> </v>
      </c>
      <c r="F26" s="290" t="str">
        <f t="shared" si="1"/>
        <v xml:space="preserve"> </v>
      </c>
      <c r="H26" s="51"/>
    </row>
    <row r="27" spans="1:8" ht="13.5" customHeight="1" x14ac:dyDescent="0.2">
      <c r="A27" s="291"/>
      <c r="B27" s="288"/>
      <c r="C27" s="289"/>
      <c r="D27" s="289"/>
      <c r="E27" s="290" t="str">
        <f t="shared" si="0"/>
        <v xml:space="preserve"> </v>
      </c>
      <c r="F27" s="290" t="str">
        <f t="shared" si="1"/>
        <v xml:space="preserve"> </v>
      </c>
      <c r="H27" s="51"/>
    </row>
    <row r="28" spans="1:8" ht="13.5" customHeight="1" x14ac:dyDescent="0.2">
      <c r="A28" s="291"/>
      <c r="B28" s="288"/>
      <c r="C28" s="289"/>
      <c r="D28" s="289"/>
      <c r="E28" s="290" t="str">
        <f t="shared" si="0"/>
        <v xml:space="preserve"> </v>
      </c>
      <c r="F28" s="290" t="str">
        <f t="shared" si="1"/>
        <v xml:space="preserve"> </v>
      </c>
      <c r="H28" s="51"/>
    </row>
    <row r="29" spans="1:8" ht="13.5" customHeight="1" x14ac:dyDescent="0.2">
      <c r="A29" s="291"/>
      <c r="B29" s="288"/>
      <c r="C29" s="289"/>
      <c r="D29" s="289"/>
      <c r="E29" s="290" t="str">
        <f t="shared" si="0"/>
        <v xml:space="preserve"> </v>
      </c>
      <c r="F29" s="290" t="str">
        <f t="shared" si="1"/>
        <v xml:space="preserve"> </v>
      </c>
      <c r="H29" s="51"/>
    </row>
    <row r="30" spans="1:8" ht="13.5" customHeight="1" x14ac:dyDescent="0.2">
      <c r="A30" s="291"/>
      <c r="B30" s="288"/>
      <c r="C30" s="289"/>
      <c r="D30" s="289"/>
      <c r="E30" s="290" t="str">
        <f t="shared" si="0"/>
        <v xml:space="preserve"> </v>
      </c>
      <c r="F30" s="290" t="str">
        <f t="shared" si="1"/>
        <v xml:space="preserve"> </v>
      </c>
      <c r="H30" s="51"/>
    </row>
    <row r="31" spans="1:8" ht="13.5" customHeight="1" x14ac:dyDescent="0.2">
      <c r="A31" s="291"/>
      <c r="B31" s="288"/>
      <c r="C31" s="289"/>
      <c r="D31" s="289"/>
      <c r="E31" s="290" t="str">
        <f t="shared" si="0"/>
        <v xml:space="preserve"> </v>
      </c>
      <c r="F31" s="290" t="str">
        <f t="shared" si="1"/>
        <v xml:space="preserve"> </v>
      </c>
      <c r="H31" s="51"/>
    </row>
    <row r="32" spans="1:8" ht="13.5" customHeight="1" x14ac:dyDescent="0.2">
      <c r="A32" s="291"/>
      <c r="B32" s="288"/>
      <c r="C32" s="289"/>
      <c r="D32" s="289"/>
      <c r="E32" s="290" t="str">
        <f t="shared" si="0"/>
        <v xml:space="preserve"> </v>
      </c>
      <c r="F32" s="290" t="str">
        <f t="shared" si="1"/>
        <v xml:space="preserve"> </v>
      </c>
      <c r="H32" s="51"/>
    </row>
    <row r="33" spans="1:8" ht="13.5" customHeight="1" x14ac:dyDescent="0.2">
      <c r="A33" s="291"/>
      <c r="B33" s="288"/>
      <c r="C33" s="289"/>
      <c r="D33" s="289"/>
      <c r="E33" s="290" t="str">
        <f t="shared" si="0"/>
        <v xml:space="preserve"> </v>
      </c>
      <c r="F33" s="290" t="str">
        <f t="shared" si="1"/>
        <v xml:space="preserve"> </v>
      </c>
      <c r="H33" s="51"/>
    </row>
    <row r="34" spans="1:8" ht="13.5" customHeight="1" x14ac:dyDescent="0.2">
      <c r="A34" s="291"/>
      <c r="B34" s="288"/>
      <c r="C34" s="289"/>
      <c r="D34" s="289"/>
      <c r="E34" s="290" t="str">
        <f t="shared" si="0"/>
        <v xml:space="preserve"> </v>
      </c>
      <c r="F34" s="290" t="str">
        <f t="shared" si="1"/>
        <v xml:space="preserve"> </v>
      </c>
      <c r="H34" s="51"/>
    </row>
    <row r="35" spans="1:8" ht="13.5" customHeight="1" x14ac:dyDescent="0.2">
      <c r="A35" s="291"/>
      <c r="B35" s="288"/>
      <c r="C35" s="289"/>
      <c r="D35" s="289"/>
      <c r="E35" s="290" t="str">
        <f t="shared" si="0"/>
        <v xml:space="preserve"> </v>
      </c>
      <c r="F35" s="290" t="str">
        <f t="shared" si="1"/>
        <v xml:space="preserve"> </v>
      </c>
      <c r="H35" s="51"/>
    </row>
    <row r="36" spans="1:8" ht="13.5" customHeight="1" x14ac:dyDescent="0.2">
      <c r="A36" s="291"/>
      <c r="B36" s="288"/>
      <c r="C36" s="289"/>
      <c r="D36" s="289"/>
      <c r="E36" s="290" t="str">
        <f t="shared" si="0"/>
        <v xml:space="preserve"> </v>
      </c>
      <c r="F36" s="290" t="str">
        <f t="shared" si="1"/>
        <v xml:space="preserve"> </v>
      </c>
      <c r="H36" s="51"/>
    </row>
    <row r="37" spans="1:8" ht="13.5" customHeight="1" x14ac:dyDescent="0.2">
      <c r="A37" s="291"/>
      <c r="B37" s="288"/>
      <c r="C37" s="289"/>
      <c r="D37" s="289"/>
      <c r="E37" s="290" t="str">
        <f t="shared" si="0"/>
        <v xml:space="preserve"> </v>
      </c>
      <c r="F37" s="290" t="str">
        <f t="shared" si="1"/>
        <v xml:space="preserve"> </v>
      </c>
      <c r="H37" s="51"/>
    </row>
    <row r="38" spans="1:8" ht="13.5" customHeight="1" x14ac:dyDescent="0.2">
      <c r="A38" s="291"/>
      <c r="B38" s="288"/>
      <c r="C38" s="289"/>
      <c r="D38" s="289"/>
      <c r="E38" s="290" t="str">
        <f t="shared" si="0"/>
        <v xml:space="preserve"> </v>
      </c>
      <c r="F38" s="290" t="str">
        <f t="shared" si="1"/>
        <v xml:space="preserve"> </v>
      </c>
      <c r="H38" s="51"/>
    </row>
    <row r="39" spans="1:8" ht="13.5" customHeight="1" x14ac:dyDescent="0.2">
      <c r="A39" s="291"/>
      <c r="B39" s="288"/>
      <c r="C39" s="289"/>
      <c r="D39" s="289"/>
      <c r="E39" s="290" t="str">
        <f t="shared" si="0"/>
        <v xml:space="preserve"> </v>
      </c>
      <c r="F39" s="290" t="str">
        <f t="shared" si="1"/>
        <v xml:space="preserve"> </v>
      </c>
      <c r="H39" s="51"/>
    </row>
    <row r="40" spans="1:8" ht="13.5" customHeight="1" x14ac:dyDescent="0.2">
      <c r="A40" s="291"/>
      <c r="B40" s="288"/>
      <c r="C40" s="289"/>
      <c r="D40" s="289"/>
      <c r="E40" s="290" t="str">
        <f t="shared" si="0"/>
        <v xml:space="preserve"> </v>
      </c>
      <c r="F40" s="290" t="str">
        <f t="shared" si="1"/>
        <v xml:space="preserve"> </v>
      </c>
      <c r="H40" s="51"/>
    </row>
    <row r="41" spans="1:8" ht="13.5" customHeight="1" x14ac:dyDescent="0.2">
      <c r="A41" s="291"/>
      <c r="B41" s="288"/>
      <c r="C41" s="289"/>
      <c r="D41" s="289"/>
      <c r="E41" s="290" t="str">
        <f t="shared" si="0"/>
        <v xml:space="preserve"> </v>
      </c>
      <c r="F41" s="290" t="str">
        <f t="shared" si="1"/>
        <v xml:space="preserve"> </v>
      </c>
      <c r="H41" s="51"/>
    </row>
    <row r="42" spans="1:8" ht="13.5" customHeight="1" x14ac:dyDescent="0.2">
      <c r="A42" s="291"/>
      <c r="B42" s="288"/>
      <c r="C42" s="289"/>
      <c r="D42" s="289"/>
      <c r="E42" s="290" t="str">
        <f t="shared" si="0"/>
        <v xml:space="preserve"> </v>
      </c>
      <c r="F42" s="290" t="str">
        <f t="shared" si="1"/>
        <v xml:space="preserve"> </v>
      </c>
      <c r="H42" s="51"/>
    </row>
    <row r="43" spans="1:8" ht="13.5" customHeight="1" x14ac:dyDescent="0.2">
      <c r="A43" s="291"/>
      <c r="B43" s="288"/>
      <c r="C43" s="289"/>
      <c r="D43" s="289"/>
      <c r="E43" s="290" t="str">
        <f t="shared" si="0"/>
        <v xml:space="preserve"> </v>
      </c>
      <c r="F43" s="290" t="str">
        <f t="shared" si="1"/>
        <v xml:space="preserve"> </v>
      </c>
      <c r="H43" s="51"/>
    </row>
    <row r="44" spans="1:8" ht="13.5" customHeight="1" x14ac:dyDescent="0.2">
      <c r="A44" s="291"/>
      <c r="B44" s="288"/>
      <c r="C44" s="289"/>
      <c r="D44" s="289"/>
      <c r="E44" s="290" t="str">
        <f t="shared" si="0"/>
        <v xml:space="preserve"> </v>
      </c>
      <c r="F44" s="290" t="str">
        <f t="shared" si="1"/>
        <v xml:space="preserve"> </v>
      </c>
      <c r="H44" s="51"/>
    </row>
    <row r="45" spans="1:8" ht="13.5" customHeight="1" x14ac:dyDescent="0.2">
      <c r="A45" s="291"/>
      <c r="B45" s="288"/>
      <c r="C45" s="289"/>
      <c r="D45" s="289"/>
      <c r="E45" s="290" t="str">
        <f t="shared" si="0"/>
        <v xml:space="preserve"> </v>
      </c>
      <c r="F45" s="290" t="str">
        <f t="shared" si="1"/>
        <v xml:space="preserve"> </v>
      </c>
      <c r="H45" s="51"/>
    </row>
    <row r="46" spans="1:8" ht="13.5" customHeight="1" x14ac:dyDescent="0.2">
      <c r="A46" s="291"/>
      <c r="B46" s="288"/>
      <c r="C46" s="289"/>
      <c r="D46" s="289"/>
      <c r="E46" s="290" t="str">
        <f t="shared" si="0"/>
        <v xml:space="preserve"> </v>
      </c>
      <c r="F46" s="290" t="str">
        <f t="shared" si="1"/>
        <v xml:space="preserve"> </v>
      </c>
      <c r="H46" s="51"/>
    </row>
    <row r="47" spans="1:8" ht="13.5" customHeight="1" x14ac:dyDescent="0.2">
      <c r="A47" s="291"/>
      <c r="B47" s="288"/>
      <c r="C47" s="289"/>
      <c r="D47" s="289"/>
      <c r="E47" s="290" t="str">
        <f t="shared" si="0"/>
        <v xml:space="preserve"> </v>
      </c>
      <c r="F47" s="290" t="str">
        <f t="shared" si="1"/>
        <v xml:space="preserve"> </v>
      </c>
      <c r="H47" s="51"/>
    </row>
    <row r="48" spans="1:8" ht="13.5" customHeight="1" x14ac:dyDescent="0.2">
      <c r="A48" s="291"/>
      <c r="B48" s="288"/>
      <c r="C48" s="289"/>
      <c r="D48" s="289"/>
      <c r="E48" s="290" t="str">
        <f t="shared" si="0"/>
        <v xml:space="preserve"> </v>
      </c>
      <c r="F48" s="290" t="str">
        <f t="shared" si="1"/>
        <v xml:space="preserve"> </v>
      </c>
      <c r="H48" s="51"/>
    </row>
    <row r="49" spans="1:8" ht="13.5" customHeight="1" x14ac:dyDescent="0.2">
      <c r="A49" s="291"/>
      <c r="B49" s="288"/>
      <c r="C49" s="289"/>
      <c r="D49" s="289"/>
      <c r="E49" s="290" t="str">
        <f t="shared" si="0"/>
        <v xml:space="preserve"> </v>
      </c>
      <c r="F49" s="290" t="str">
        <f t="shared" si="1"/>
        <v xml:space="preserve"> </v>
      </c>
      <c r="H49" s="51"/>
    </row>
    <row r="50" spans="1:8" ht="13.5" customHeight="1" x14ac:dyDescent="0.2">
      <c r="A50" s="291"/>
      <c r="B50" s="288"/>
      <c r="C50" s="289"/>
      <c r="D50" s="289"/>
      <c r="E50" s="290" t="str">
        <f t="shared" si="0"/>
        <v xml:space="preserve"> </v>
      </c>
      <c r="F50" s="290" t="str">
        <f t="shared" si="1"/>
        <v xml:space="preserve"> </v>
      </c>
      <c r="H50" s="51"/>
    </row>
    <row r="51" spans="1:8" ht="13.5" customHeight="1" x14ac:dyDescent="0.2">
      <c r="A51" s="291"/>
      <c r="B51" s="288"/>
      <c r="C51" s="289"/>
      <c r="D51" s="289"/>
      <c r="E51" s="290" t="str">
        <f t="shared" si="0"/>
        <v xml:space="preserve"> </v>
      </c>
      <c r="F51" s="290" t="str">
        <f t="shared" si="1"/>
        <v xml:space="preserve"> </v>
      </c>
    </row>
    <row r="52" spans="1:8" ht="13.5" customHeight="1" x14ac:dyDescent="0.2">
      <c r="A52" s="291"/>
      <c r="B52" s="288"/>
      <c r="C52" s="289"/>
      <c r="D52" s="289"/>
      <c r="E52" s="290" t="str">
        <f t="shared" si="0"/>
        <v xml:space="preserve"> </v>
      </c>
      <c r="F52" s="290" t="str">
        <f t="shared" si="1"/>
        <v xml:space="preserve"> </v>
      </c>
    </row>
    <row r="53" spans="1:8" ht="13.5" customHeight="1" x14ac:dyDescent="0.2">
      <c r="A53" s="291"/>
      <c r="B53" s="288"/>
      <c r="C53" s="289"/>
      <c r="D53" s="289"/>
      <c r="E53" s="290" t="str">
        <f t="shared" si="0"/>
        <v xml:space="preserve"> </v>
      </c>
      <c r="F53" s="290" t="str">
        <f t="shared" si="1"/>
        <v xml:space="preserve"> </v>
      </c>
    </row>
    <row r="54" spans="1:8" ht="13.5" customHeight="1" x14ac:dyDescent="0.2">
      <c r="A54" s="291"/>
      <c r="B54" s="288"/>
      <c r="C54" s="289"/>
      <c r="D54" s="289"/>
      <c r="E54" s="290" t="str">
        <f t="shared" ref="E54:E61" si="2">IF(B54=0," ",C54*(B54/$B$62))</f>
        <v xml:space="preserve"> </v>
      </c>
      <c r="F54" s="290" t="str">
        <f t="shared" ref="F54:F61" si="3">IF(B54=0," ",D54*(E54/$E$62))</f>
        <v xml:space="preserve"> </v>
      </c>
    </row>
    <row r="55" spans="1:8" ht="13.5" customHeight="1" x14ac:dyDescent="0.2">
      <c r="A55" s="291"/>
      <c r="B55" s="288"/>
      <c r="C55" s="289"/>
      <c r="D55" s="289"/>
      <c r="E55" s="290" t="str">
        <f t="shared" si="2"/>
        <v xml:space="preserve"> </v>
      </c>
      <c r="F55" s="290" t="str">
        <f t="shared" si="3"/>
        <v xml:space="preserve"> </v>
      </c>
    </row>
    <row r="56" spans="1:8" ht="13.5" customHeight="1" x14ac:dyDescent="0.2">
      <c r="A56" s="291"/>
      <c r="B56" s="288"/>
      <c r="C56" s="289"/>
      <c r="D56" s="289"/>
      <c r="E56" s="290" t="str">
        <f t="shared" si="2"/>
        <v xml:space="preserve"> </v>
      </c>
      <c r="F56" s="290" t="str">
        <f t="shared" si="3"/>
        <v xml:space="preserve"> </v>
      </c>
    </row>
    <row r="57" spans="1:8" ht="13.5" customHeight="1" x14ac:dyDescent="0.2">
      <c r="A57" s="291"/>
      <c r="B57" s="288"/>
      <c r="C57" s="289"/>
      <c r="D57" s="289"/>
      <c r="E57" s="290" t="str">
        <f t="shared" si="2"/>
        <v xml:space="preserve"> </v>
      </c>
      <c r="F57" s="290" t="str">
        <f t="shared" si="3"/>
        <v xml:space="preserve"> </v>
      </c>
    </row>
    <row r="58" spans="1:8" ht="13.5" customHeight="1" x14ac:dyDescent="0.2">
      <c r="A58" s="291"/>
      <c r="B58" s="288"/>
      <c r="C58" s="289"/>
      <c r="D58" s="289"/>
      <c r="E58" s="290" t="str">
        <f t="shared" si="2"/>
        <v xml:space="preserve"> </v>
      </c>
      <c r="F58" s="290" t="str">
        <f t="shared" si="3"/>
        <v xml:space="preserve"> </v>
      </c>
    </row>
    <row r="59" spans="1:8" ht="13.5" customHeight="1" x14ac:dyDescent="0.2">
      <c r="A59" s="291"/>
      <c r="B59" s="288"/>
      <c r="C59" s="289"/>
      <c r="D59" s="289"/>
      <c r="E59" s="290" t="str">
        <f t="shared" si="2"/>
        <v xml:space="preserve"> </v>
      </c>
      <c r="F59" s="290" t="str">
        <f t="shared" si="3"/>
        <v xml:space="preserve"> </v>
      </c>
    </row>
    <row r="60" spans="1:8" ht="13.5" customHeight="1" x14ac:dyDescent="0.2">
      <c r="A60" s="291"/>
      <c r="B60" s="288"/>
      <c r="C60" s="289"/>
      <c r="D60" s="289"/>
      <c r="E60" s="290" t="str">
        <f t="shared" si="2"/>
        <v xml:space="preserve"> </v>
      </c>
      <c r="F60" s="290" t="str">
        <f t="shared" si="3"/>
        <v xml:space="preserve"> </v>
      </c>
    </row>
    <row r="61" spans="1:8" ht="13.5" customHeight="1" x14ac:dyDescent="0.2">
      <c r="A61" s="291"/>
      <c r="B61" s="288"/>
      <c r="C61" s="289"/>
      <c r="D61" s="289"/>
      <c r="E61" s="290" t="str">
        <f t="shared" si="2"/>
        <v xml:space="preserve"> </v>
      </c>
      <c r="F61" s="290" t="str">
        <f t="shared" si="3"/>
        <v xml:space="preserve"> </v>
      </c>
    </row>
    <row r="62" spans="1:8" ht="22.15" customHeight="1" x14ac:dyDescent="0.25">
      <c r="A62" s="237" t="s">
        <v>26</v>
      </c>
      <c r="B62" s="292">
        <f>SUM(B12:B61)</f>
        <v>0</v>
      </c>
      <c r="C62" s="237" t="s">
        <v>4</v>
      </c>
      <c r="D62" s="237"/>
      <c r="E62" s="293">
        <f>SUM(E12:E61)</f>
        <v>0</v>
      </c>
      <c r="F62" s="294">
        <f>SUM(F12:F61)</f>
        <v>0</v>
      </c>
    </row>
    <row r="63" spans="1:8" ht="14.25" x14ac:dyDescent="0.2">
      <c r="A63" s="180"/>
      <c r="B63" s="180"/>
      <c r="C63" s="180"/>
      <c r="D63" s="180"/>
      <c r="E63" s="180"/>
      <c r="F63" s="180"/>
    </row>
    <row r="64" spans="1:8" ht="17.649999999999999" customHeight="1" x14ac:dyDescent="0.25">
      <c r="A64" s="295" t="s">
        <v>27</v>
      </c>
      <c r="B64" s="296"/>
      <c r="C64" s="296"/>
      <c r="D64" s="297"/>
      <c r="E64" s="296"/>
      <c r="F64" s="293">
        <f>E62</f>
        <v>0</v>
      </c>
      <c r="G64" s="180" t="s">
        <v>28</v>
      </c>
    </row>
    <row r="65" spans="1:8" ht="17.649999999999999" customHeight="1" x14ac:dyDescent="0.25">
      <c r="A65" s="295" t="s">
        <v>29</v>
      </c>
      <c r="B65" s="296"/>
      <c r="C65" s="296"/>
      <c r="D65" s="297"/>
      <c r="E65" s="297"/>
      <c r="F65" s="294">
        <f>+F62</f>
        <v>0</v>
      </c>
      <c r="G65" s="180" t="s">
        <v>30</v>
      </c>
      <c r="H65" s="11"/>
    </row>
    <row r="66" spans="1:8" ht="17.649999999999999" customHeight="1" x14ac:dyDescent="0.25">
      <c r="A66" s="295" t="s">
        <v>31</v>
      </c>
      <c r="B66" s="296"/>
      <c r="C66" s="296"/>
      <c r="D66" s="297"/>
      <c r="E66" s="297"/>
      <c r="F66" s="293">
        <v>0.5</v>
      </c>
      <c r="G66" s="180"/>
      <c r="H66" s="11"/>
    </row>
    <row r="67" spans="1:8" ht="17.649999999999999" customHeight="1" x14ac:dyDescent="0.25">
      <c r="A67" s="295" t="s">
        <v>32</v>
      </c>
      <c r="B67" s="296"/>
      <c r="C67" s="296"/>
      <c r="D67" s="297"/>
      <c r="E67" s="297"/>
      <c r="F67" s="285">
        <f>IF(B62=0,0,F64/F65*2+F66)</f>
        <v>0</v>
      </c>
      <c r="G67" s="180"/>
      <c r="H67" s="11"/>
    </row>
    <row r="68" spans="1:8" ht="17.649999999999999" customHeight="1" x14ac:dyDescent="0.25">
      <c r="A68" s="295" t="s">
        <v>33</v>
      </c>
      <c r="B68" s="296"/>
      <c r="C68" s="296"/>
      <c r="D68" s="297"/>
      <c r="E68" s="296"/>
      <c r="F68" s="298">
        <v>0</v>
      </c>
      <c r="G68" s="180" t="s">
        <v>517</v>
      </c>
    </row>
    <row r="69" spans="1:8" ht="20.65" customHeight="1" x14ac:dyDescent="0.25">
      <c r="A69" s="299" t="s">
        <v>473</v>
      </c>
      <c r="B69" s="297"/>
      <c r="C69" s="297"/>
      <c r="D69" s="296"/>
      <c r="E69" s="296"/>
      <c r="F69" s="285">
        <f>IF(B62=0,0,F67+F68)</f>
        <v>0</v>
      </c>
      <c r="G69" s="180" t="s">
        <v>518</v>
      </c>
    </row>
  </sheetData>
  <sheetProtection algorithmName="SHA-512" hashValue="JkACxXkubwUdxEghwamCH8DYb9dMtu1S0Isp8gZL5ccs87TV5F7fZQ8ZKcKrwsgX5SrKu9pzD5FbevZKwNjUlQ==" saltValue="lirvsdB463eo5i8PbHxqEw==" spinCount="100000" sheet="1"/>
  <hyperlinks>
    <hyperlink ref="F2" r:id="rId1" display="daniel.oleary@usda.gov" xr:uid="{D29FFB45-5B2D-4A3D-897B-B1F2026D8CC6}"/>
  </hyperlinks>
  <printOptions gridLines="1"/>
  <pageMargins left="0.45" right="0.45" top="0.75" bottom="0.75" header="0.51180555555555596" footer="0.51180555555555596"/>
  <pageSetup paperSize="3" scale="99" firstPageNumber="0" fitToHeight="4" orientation="portrait" horizontalDpi="300" verticalDpi="300" r:id="rId2"/>
  <headerFooter alignWithMargins="0"/>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Please select from list." xr:uid="{00000000-0002-0000-0200-000000000000}">
          <x14:formula1>
            <xm:f>droplist!$A$2:$A$4</xm:f>
          </x14:formula1>
          <xm:sqref>B6</xm:sqref>
        </x14:dataValidation>
        <x14:dataValidation type="list" allowBlank="1" showInputMessage="1" showErrorMessage="1" error="Please select from list." xr:uid="{00000000-0002-0000-0200-000001000000}">
          <x14:formula1>
            <xm:f>droplist!$B$2:$B$6</xm:f>
          </x14:formula1>
          <xm:sqref>F68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5" tint="0.79998168889431442"/>
    <pageSetUpPr fitToPage="1"/>
  </sheetPr>
  <dimension ref="A1:N47"/>
  <sheetViews>
    <sheetView workbookViewId="0">
      <selection activeCell="A49" sqref="A49"/>
    </sheetView>
  </sheetViews>
  <sheetFormatPr defaultColWidth="11.28515625" defaultRowHeight="12.75" x14ac:dyDescent="0.2"/>
  <cols>
    <col min="1" max="1" width="21.28515625" customWidth="1"/>
    <col min="3" max="3" width="15.28515625" customWidth="1"/>
    <col min="4" max="4" width="12.28515625" bestFit="1" customWidth="1"/>
    <col min="7" max="7" width="12.7109375" customWidth="1"/>
    <col min="8" max="8" width="14.5703125" customWidth="1"/>
    <col min="12" max="14" width="11.28515625" customWidth="1"/>
  </cols>
  <sheetData>
    <row r="1" spans="1:10" x14ac:dyDescent="0.2">
      <c r="A1" s="10" t="s">
        <v>98</v>
      </c>
      <c r="G1" s="70"/>
    </row>
    <row r="2" spans="1:10" x14ac:dyDescent="0.2">
      <c r="A2" s="10"/>
    </row>
    <row r="3" spans="1:10" x14ac:dyDescent="0.2">
      <c r="H3" s="429" t="s">
        <v>562</v>
      </c>
      <c r="I3" s="429"/>
      <c r="J3" s="429"/>
    </row>
    <row r="4" spans="1:10" x14ac:dyDescent="0.2">
      <c r="A4" s="1" t="s">
        <v>99</v>
      </c>
      <c r="D4" s="155" t="s">
        <v>566</v>
      </c>
      <c r="H4" s="429">
        <v>0.29820000000000002</v>
      </c>
    </row>
    <row r="5" spans="1:10" x14ac:dyDescent="0.2">
      <c r="A5" t="s">
        <v>100</v>
      </c>
      <c r="B5" t="s">
        <v>370</v>
      </c>
      <c r="D5" s="162">
        <v>520283</v>
      </c>
      <c r="E5" t="s">
        <v>415</v>
      </c>
      <c r="H5" s="430">
        <f>D5*(1+$H$4)</f>
        <v>675431.39060000004</v>
      </c>
    </row>
    <row r="6" spans="1:10" x14ac:dyDescent="0.2">
      <c r="A6" t="s">
        <v>423</v>
      </c>
      <c r="B6" t="s">
        <v>101</v>
      </c>
      <c r="D6" s="163">
        <v>234593</v>
      </c>
      <c r="E6" t="s">
        <v>417</v>
      </c>
      <c r="H6" s="430">
        <f t="shared" ref="H6:H16" si="0">D6*(1+$H$4)</f>
        <v>304548.63260000001</v>
      </c>
    </row>
    <row r="7" spans="1:10" x14ac:dyDescent="0.2">
      <c r="A7" t="s">
        <v>102</v>
      </c>
      <c r="B7" t="s">
        <v>371</v>
      </c>
      <c r="D7" s="162">
        <f>D5+216700</f>
        <v>736983</v>
      </c>
      <c r="E7" t="s">
        <v>415</v>
      </c>
      <c r="H7" s="430">
        <f t="shared" si="0"/>
        <v>956751.33059999999</v>
      </c>
    </row>
    <row r="8" spans="1:10" x14ac:dyDescent="0.2">
      <c r="A8" t="s">
        <v>103</v>
      </c>
      <c r="B8" t="s">
        <v>372</v>
      </c>
      <c r="D8" s="162">
        <f>D5+256200</f>
        <v>776483</v>
      </c>
      <c r="E8" t="s">
        <v>415</v>
      </c>
      <c r="H8" s="430">
        <f t="shared" si="0"/>
        <v>1008030.2306</v>
      </c>
    </row>
    <row r="9" spans="1:10" x14ac:dyDescent="0.2">
      <c r="A9" t="s">
        <v>104</v>
      </c>
      <c r="B9" t="s">
        <v>375</v>
      </c>
      <c r="D9" s="162">
        <v>397728</v>
      </c>
      <c r="E9" t="s">
        <v>416</v>
      </c>
      <c r="H9" s="430">
        <f t="shared" si="0"/>
        <v>516330.48960000003</v>
      </c>
    </row>
    <row r="10" spans="1:10" x14ac:dyDescent="0.2">
      <c r="A10" t="s">
        <v>105</v>
      </c>
      <c r="B10" t="s">
        <v>106</v>
      </c>
      <c r="D10" s="162">
        <v>2016228</v>
      </c>
      <c r="E10" t="s">
        <v>418</v>
      </c>
      <c r="H10" s="430">
        <f t="shared" si="0"/>
        <v>2617467.1896000002</v>
      </c>
    </row>
    <row r="11" spans="1:10" x14ac:dyDescent="0.2">
      <c r="A11" t="s">
        <v>107</v>
      </c>
      <c r="B11" t="s">
        <v>108</v>
      </c>
      <c r="D11" s="162">
        <v>51200</v>
      </c>
      <c r="E11" t="s">
        <v>419</v>
      </c>
      <c r="H11" s="430">
        <f t="shared" si="0"/>
        <v>66467.839999999997</v>
      </c>
    </row>
    <row r="12" spans="1:10" x14ac:dyDescent="0.2">
      <c r="A12" t="s">
        <v>109</v>
      </c>
      <c r="B12" t="s">
        <v>481</v>
      </c>
      <c r="D12" s="162">
        <v>1621468</v>
      </c>
      <c r="E12" t="s">
        <v>420</v>
      </c>
      <c r="H12" s="430">
        <f t="shared" si="0"/>
        <v>2104989.7576000001</v>
      </c>
    </row>
    <row r="13" spans="1:10" x14ac:dyDescent="0.2">
      <c r="A13" t="s">
        <v>110</v>
      </c>
      <c r="B13" t="s">
        <v>372</v>
      </c>
      <c r="D13" s="162">
        <f>D5+256200</f>
        <v>776483</v>
      </c>
      <c r="E13" t="s">
        <v>415</v>
      </c>
      <c r="H13" s="430">
        <f t="shared" si="0"/>
        <v>1008030.2306</v>
      </c>
    </row>
    <row r="14" spans="1:10" x14ac:dyDescent="0.2">
      <c r="A14" t="s">
        <v>111</v>
      </c>
      <c r="B14" t="s">
        <v>112</v>
      </c>
      <c r="D14" s="162">
        <v>640000</v>
      </c>
      <c r="E14" t="s">
        <v>421</v>
      </c>
      <c r="H14" s="430">
        <f t="shared" si="0"/>
        <v>830848</v>
      </c>
    </row>
    <row r="15" spans="1:10" x14ac:dyDescent="0.2">
      <c r="A15" t="s">
        <v>403</v>
      </c>
      <c r="B15" t="s">
        <v>373</v>
      </c>
      <c r="D15" s="162">
        <v>60700</v>
      </c>
      <c r="E15" t="s">
        <v>422</v>
      </c>
      <c r="H15" s="430">
        <f t="shared" si="0"/>
        <v>78800.740000000005</v>
      </c>
    </row>
    <row r="16" spans="1:10" x14ac:dyDescent="0.2">
      <c r="A16" t="s">
        <v>404</v>
      </c>
      <c r="B16" t="s">
        <v>374</v>
      </c>
      <c r="D16" s="162">
        <v>71200</v>
      </c>
      <c r="E16" t="s">
        <v>422</v>
      </c>
      <c r="H16" s="430">
        <f t="shared" si="0"/>
        <v>92431.84</v>
      </c>
    </row>
    <row r="17" spans="1:14" x14ac:dyDescent="0.2">
      <c r="H17" s="143"/>
    </row>
    <row r="18" spans="1:14" x14ac:dyDescent="0.2">
      <c r="A18" t="s">
        <v>113</v>
      </c>
      <c r="D18" s="426">
        <v>3.661</v>
      </c>
      <c r="E18" t="s">
        <v>563</v>
      </c>
    </row>
    <row r="19" spans="1:14" x14ac:dyDescent="0.2">
      <c r="A19" t="s">
        <v>480</v>
      </c>
      <c r="D19" s="427">
        <v>19.02</v>
      </c>
      <c r="E19" t="s">
        <v>563</v>
      </c>
    </row>
    <row r="20" spans="1:14" x14ac:dyDescent="0.2">
      <c r="A20" t="s">
        <v>114</v>
      </c>
      <c r="B20" t="s">
        <v>430</v>
      </c>
      <c r="C20" s="160" t="s">
        <v>435</v>
      </c>
      <c r="D20" s="427">
        <v>78.52</v>
      </c>
      <c r="E20" t="s">
        <v>563</v>
      </c>
    </row>
    <row r="21" spans="1:14" x14ac:dyDescent="0.2">
      <c r="A21" t="s">
        <v>431</v>
      </c>
      <c r="B21" t="s">
        <v>432</v>
      </c>
      <c r="C21" t="s">
        <v>433</v>
      </c>
      <c r="D21" s="427">
        <f>D20*2</f>
        <v>157.04</v>
      </c>
      <c r="E21" t="s">
        <v>563</v>
      </c>
    </row>
    <row r="22" spans="1:14" x14ac:dyDescent="0.2">
      <c r="A22" t="s">
        <v>115</v>
      </c>
      <c r="D22" s="151"/>
      <c r="E22" t="s">
        <v>378</v>
      </c>
    </row>
    <row r="24" spans="1:14" x14ac:dyDescent="0.2">
      <c r="A24" s="1" t="s">
        <v>528</v>
      </c>
      <c r="D24" t="s">
        <v>564</v>
      </c>
      <c r="E24" t="s">
        <v>523</v>
      </c>
      <c r="I24" s="155"/>
      <c r="J24" s="155"/>
      <c r="M24" s="147"/>
      <c r="N24" s="147"/>
    </row>
    <row r="25" spans="1:14" ht="14.25" x14ac:dyDescent="0.2">
      <c r="A25" t="s">
        <v>116</v>
      </c>
      <c r="D25" s="428">
        <v>67.22</v>
      </c>
      <c r="E25" s="161"/>
      <c r="I25" s="159"/>
      <c r="J25" s="159"/>
      <c r="L25" s="34"/>
    </row>
    <row r="26" spans="1:14" ht="14.25" x14ac:dyDescent="0.2">
      <c r="A26" t="s">
        <v>117</v>
      </c>
      <c r="D26" s="428">
        <v>45.13</v>
      </c>
      <c r="E26" s="161"/>
      <c r="I26" s="159"/>
      <c r="J26" s="159"/>
      <c r="L26" s="34"/>
      <c r="M26" s="152"/>
    </row>
    <row r="27" spans="1:14" ht="14.25" x14ac:dyDescent="0.2">
      <c r="A27" t="s">
        <v>118</v>
      </c>
      <c r="D27" s="428">
        <v>51.3</v>
      </c>
      <c r="E27" s="161"/>
      <c r="I27" s="159"/>
      <c r="J27" s="159"/>
      <c r="L27" s="34"/>
      <c r="M27" s="152"/>
    </row>
    <row r="28" spans="1:14" ht="14.25" x14ac:dyDescent="0.2">
      <c r="A28" t="s">
        <v>119</v>
      </c>
      <c r="D28" s="428">
        <v>49.54</v>
      </c>
      <c r="E28" s="161"/>
      <c r="I28" s="159"/>
      <c r="J28" s="159"/>
      <c r="L28" s="34"/>
      <c r="M28" s="152"/>
    </row>
    <row r="29" spans="1:14" ht="14.25" x14ac:dyDescent="0.2">
      <c r="A29" t="s">
        <v>120</v>
      </c>
      <c r="D29" s="428">
        <v>56.53</v>
      </c>
      <c r="E29" s="161"/>
      <c r="I29" s="159"/>
      <c r="J29" s="159"/>
      <c r="L29" s="34"/>
      <c r="M29" s="152"/>
    </row>
    <row r="30" spans="1:14" ht="14.25" x14ac:dyDescent="0.2">
      <c r="A30" t="s">
        <v>121</v>
      </c>
      <c r="D30" s="428">
        <v>57.26</v>
      </c>
      <c r="E30" s="161"/>
      <c r="I30" s="159"/>
      <c r="J30" s="159"/>
      <c r="L30" s="34"/>
      <c r="M30" s="152"/>
    </row>
    <row r="31" spans="1:14" ht="14.25" x14ac:dyDescent="0.2">
      <c r="A31" t="s">
        <v>122</v>
      </c>
      <c r="D31" s="428">
        <v>62.47</v>
      </c>
      <c r="E31" s="161"/>
      <c r="I31" s="159"/>
      <c r="J31" s="159"/>
      <c r="L31" s="34"/>
      <c r="M31" s="152"/>
    </row>
    <row r="32" spans="1:14" ht="14.25" x14ac:dyDescent="0.2">
      <c r="A32" t="s">
        <v>123</v>
      </c>
      <c r="D32" s="428">
        <v>65.42</v>
      </c>
      <c r="E32" s="161"/>
      <c r="I32" s="159"/>
      <c r="J32" s="159"/>
      <c r="L32" s="34"/>
      <c r="M32" s="152"/>
    </row>
    <row r="33" spans="1:12" x14ac:dyDescent="0.2">
      <c r="D33" s="154"/>
      <c r="E33" s="161"/>
      <c r="I33" s="159"/>
      <c r="J33" s="159"/>
      <c r="K33" s="147"/>
      <c r="L33" s="153"/>
    </row>
    <row r="34" spans="1:12" x14ac:dyDescent="0.2">
      <c r="E34" s="161"/>
      <c r="G34" s="147"/>
      <c r="H34" s="429" t="s">
        <v>565</v>
      </c>
      <c r="I34" s="429"/>
      <c r="J34" s="429"/>
    </row>
    <row r="35" spans="1:12" x14ac:dyDescent="0.2">
      <c r="A35" s="1" t="s">
        <v>124</v>
      </c>
      <c r="D35" s="26" t="s">
        <v>567</v>
      </c>
      <c r="E35" s="161"/>
      <c r="H35" s="429">
        <v>0.37469999999999998</v>
      </c>
      <c r="I35" s="159"/>
      <c r="J35" s="159"/>
    </row>
    <row r="36" spans="1:12" x14ac:dyDescent="0.2">
      <c r="A36" t="s">
        <v>125</v>
      </c>
      <c r="B36" s="160" t="s">
        <v>424</v>
      </c>
      <c r="D36" s="34">
        <v>4.21</v>
      </c>
      <c r="E36" s="161"/>
      <c r="F36" s="161"/>
      <c r="H36" s="430">
        <f>D36*(1+$H$4)</f>
        <v>5.4654220000000002</v>
      </c>
      <c r="I36" s="159"/>
      <c r="J36" s="159"/>
    </row>
    <row r="37" spans="1:12" x14ac:dyDescent="0.2">
      <c r="A37" t="s">
        <v>126</v>
      </c>
      <c r="B37" s="160" t="s">
        <v>425</v>
      </c>
      <c r="D37" s="34">
        <v>2.96</v>
      </c>
      <c r="E37" s="161"/>
      <c r="F37" s="161"/>
      <c r="H37" s="430">
        <f t="shared" ref="H37:H44" si="1">D37*(1+$H$4)</f>
        <v>3.8426719999999999</v>
      </c>
      <c r="I37" s="159"/>
      <c r="J37" s="159"/>
    </row>
    <row r="38" spans="1:12" x14ac:dyDescent="0.2">
      <c r="A38" t="s">
        <v>127</v>
      </c>
      <c r="B38" s="160" t="s">
        <v>426</v>
      </c>
      <c r="D38" s="34">
        <v>2.73</v>
      </c>
      <c r="E38" s="161"/>
      <c r="F38" s="161"/>
      <c r="H38" s="430">
        <f t="shared" si="1"/>
        <v>3.5440860000000001</v>
      </c>
    </row>
    <row r="39" spans="1:12" x14ac:dyDescent="0.2">
      <c r="A39" t="s">
        <v>128</v>
      </c>
      <c r="B39" s="160" t="s">
        <v>427</v>
      </c>
      <c r="D39" s="34">
        <v>1.84</v>
      </c>
      <c r="E39" s="161"/>
      <c r="F39" s="161"/>
      <c r="H39" s="430">
        <f t="shared" si="1"/>
        <v>2.3886880000000001</v>
      </c>
    </row>
    <row r="40" spans="1:12" x14ac:dyDescent="0.2">
      <c r="A40" t="s">
        <v>129</v>
      </c>
      <c r="B40" s="160" t="s">
        <v>426</v>
      </c>
      <c r="D40" s="34">
        <v>1.22</v>
      </c>
      <c r="E40" s="161"/>
      <c r="F40" s="161"/>
      <c r="H40" s="430">
        <f t="shared" si="1"/>
        <v>1.583804</v>
      </c>
    </row>
    <row r="41" spans="1:12" x14ac:dyDescent="0.2">
      <c r="A41" t="s">
        <v>130</v>
      </c>
      <c r="B41" s="160" t="s">
        <v>428</v>
      </c>
      <c r="D41" s="34">
        <v>0.99</v>
      </c>
      <c r="F41" s="161"/>
      <c r="H41" s="430">
        <f t="shared" si="1"/>
        <v>1.285218</v>
      </c>
    </row>
    <row r="42" spans="1:12" x14ac:dyDescent="0.2">
      <c r="A42" t="s">
        <v>131</v>
      </c>
      <c r="B42" s="160" t="s">
        <v>428</v>
      </c>
      <c r="D42" s="34">
        <v>0.72</v>
      </c>
      <c r="F42" s="161"/>
      <c r="H42" s="430">
        <f t="shared" si="1"/>
        <v>0.93470399999999998</v>
      </c>
    </row>
    <row r="43" spans="1:12" x14ac:dyDescent="0.2">
      <c r="A43" t="s">
        <v>413</v>
      </c>
      <c r="B43" s="160" t="s">
        <v>429</v>
      </c>
      <c r="D43" s="34">
        <v>114.45</v>
      </c>
      <c r="F43" s="161"/>
      <c r="H43" s="430">
        <f t="shared" si="1"/>
        <v>148.57899</v>
      </c>
      <c r="J43" s="144"/>
    </row>
    <row r="44" spans="1:12" x14ac:dyDescent="0.2">
      <c r="A44" t="s">
        <v>414</v>
      </c>
      <c r="B44" s="160" t="s">
        <v>429</v>
      </c>
      <c r="D44" s="34">
        <v>53.76</v>
      </c>
      <c r="F44" s="161"/>
      <c r="H44" s="430">
        <f t="shared" si="1"/>
        <v>69.791231999999994</v>
      </c>
    </row>
    <row r="45" spans="1:12" ht="13.5" thickBot="1" x14ac:dyDescent="0.25">
      <c r="H45" s="473"/>
    </row>
    <row r="46" spans="1:12" ht="13.5" thickBot="1" x14ac:dyDescent="0.25">
      <c r="A46" t="s">
        <v>275</v>
      </c>
      <c r="D46" s="164">
        <v>6.9800000000000001E-2</v>
      </c>
      <c r="E46" s="69" t="s">
        <v>376</v>
      </c>
      <c r="H46" s="473"/>
    </row>
    <row r="47" spans="1:12" x14ac:dyDescent="0.2">
      <c r="H47" s="473"/>
    </row>
  </sheetData>
  <phoneticPr fontId="54" type="noConversion"/>
  <printOptions gridLines="1"/>
  <pageMargins left="0.28749999999999998" right="0.28749999999999998" top="0.302777778" bottom="0.55277777800000005" header="0.28749999999999998" footer="0.28749999999999998"/>
  <pageSetup paperSize="3" firstPageNumber="0" orientation="landscape" horizontalDpi="300" verticalDpi="300" r:id="rId1"/>
  <headerFooter alignWithMargins="0">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K26"/>
  <sheetViews>
    <sheetView workbookViewId="0">
      <selection activeCell="A29" sqref="A29"/>
    </sheetView>
  </sheetViews>
  <sheetFormatPr defaultColWidth="8.7109375" defaultRowHeight="12.75" x14ac:dyDescent="0.2"/>
  <cols>
    <col min="3" max="3" width="15.28515625" customWidth="1"/>
    <col min="4" max="9" width="13" customWidth="1"/>
    <col min="10" max="13" width="11.7109375" customWidth="1"/>
  </cols>
  <sheetData>
    <row r="1" spans="1:11" x14ac:dyDescent="0.2">
      <c r="A1" s="11" t="s">
        <v>132</v>
      </c>
      <c r="B1" s="2"/>
      <c r="C1" s="2"/>
      <c r="D1" s="2"/>
      <c r="E1" s="2"/>
      <c r="F1" s="12" t="s">
        <v>133</v>
      </c>
      <c r="G1" s="12"/>
      <c r="H1" s="12"/>
      <c r="I1" s="12"/>
      <c r="J1" s="2"/>
      <c r="K1" s="2"/>
    </row>
    <row r="2" spans="1:11" x14ac:dyDescent="0.2">
      <c r="A2" s="11"/>
      <c r="B2" s="2"/>
      <c r="C2" s="2"/>
      <c r="D2" s="11" t="s">
        <v>370</v>
      </c>
      <c r="E2" s="11" t="s">
        <v>370</v>
      </c>
      <c r="F2" s="11" t="s">
        <v>370</v>
      </c>
      <c r="G2" s="11" t="s">
        <v>377</v>
      </c>
      <c r="H2" s="11" t="s">
        <v>134</v>
      </c>
      <c r="I2" s="11" t="s">
        <v>370</v>
      </c>
      <c r="J2" s="11" t="s">
        <v>135</v>
      </c>
      <c r="K2" s="11" t="s">
        <v>101</v>
      </c>
    </row>
    <row r="3" spans="1:11" x14ac:dyDescent="0.2">
      <c r="A3" s="2"/>
      <c r="B3" s="2"/>
      <c r="C3" s="2"/>
      <c r="D3" s="11" t="s">
        <v>136</v>
      </c>
      <c r="E3" s="11" t="s">
        <v>137</v>
      </c>
      <c r="F3" s="11" t="s">
        <v>138</v>
      </c>
      <c r="G3" s="11" t="s">
        <v>139</v>
      </c>
      <c r="H3" s="11" t="s">
        <v>140</v>
      </c>
      <c r="I3" s="11" t="s">
        <v>138</v>
      </c>
      <c r="J3" s="11" t="s">
        <v>141</v>
      </c>
      <c r="K3" s="11" t="s">
        <v>142</v>
      </c>
    </row>
    <row r="4" spans="1:11" x14ac:dyDescent="0.2">
      <c r="A4" s="2"/>
      <c r="B4" s="2"/>
      <c r="C4" s="2"/>
      <c r="D4" s="2"/>
      <c r="E4" s="11" t="s">
        <v>143</v>
      </c>
      <c r="F4" s="11" t="s">
        <v>103</v>
      </c>
      <c r="G4" s="2"/>
      <c r="H4" s="11" t="s">
        <v>144</v>
      </c>
      <c r="I4" s="11" t="s">
        <v>110</v>
      </c>
      <c r="J4" s="11" t="s">
        <v>145</v>
      </c>
      <c r="K4" s="2" t="s">
        <v>378</v>
      </c>
    </row>
    <row r="5" spans="1:11" x14ac:dyDescent="0.2">
      <c r="A5" s="2" t="s">
        <v>99</v>
      </c>
      <c r="B5" s="2"/>
      <c r="C5" s="2"/>
      <c r="D5" s="13">
        <f>'1) YG Cost Inputs'!H5</f>
        <v>675431.39060000004</v>
      </c>
      <c r="E5" s="13">
        <f>'1) YG Cost Inputs'!H7</f>
        <v>956751.33059999999</v>
      </c>
      <c r="F5" s="13">
        <f>'1) YG Cost Inputs'!H8</f>
        <v>1008030.2306</v>
      </c>
      <c r="G5" s="145">
        <f>'1) YG Cost Inputs'!H9</f>
        <v>516330.48960000003</v>
      </c>
      <c r="H5" s="13">
        <f>'1) YG Cost Inputs'!H11</f>
        <v>66467.839999999997</v>
      </c>
      <c r="I5" s="14">
        <f>'1) YG Cost Inputs'!H8</f>
        <v>1008030.2306</v>
      </c>
      <c r="J5" s="14">
        <f>'1) YG Cost Inputs'!H14</f>
        <v>830848</v>
      </c>
      <c r="K5" s="14">
        <f>'1) YG Cost Inputs'!H6</f>
        <v>304548.63260000001</v>
      </c>
    </row>
    <row r="6" spans="1:11" x14ac:dyDescent="0.2">
      <c r="A6" s="2" t="s">
        <v>146</v>
      </c>
      <c r="B6" s="2"/>
      <c r="C6" s="2"/>
      <c r="D6" s="15">
        <v>20</v>
      </c>
      <c r="E6" s="15">
        <v>20</v>
      </c>
      <c r="F6" s="15">
        <v>20</v>
      </c>
      <c r="G6" s="15">
        <v>20</v>
      </c>
      <c r="H6" s="15">
        <v>20</v>
      </c>
      <c r="I6" s="15">
        <v>20</v>
      </c>
      <c r="J6" s="15">
        <v>20</v>
      </c>
      <c r="K6" s="15">
        <v>20</v>
      </c>
    </row>
    <row r="7" spans="1:11" x14ac:dyDescent="0.2">
      <c r="A7" s="2" t="s">
        <v>147</v>
      </c>
      <c r="B7" s="2"/>
      <c r="C7" s="2"/>
      <c r="D7" s="13">
        <v>70000</v>
      </c>
      <c r="E7" s="13">
        <v>130000</v>
      </c>
      <c r="F7" s="13">
        <v>100000</v>
      </c>
      <c r="G7" s="13">
        <v>51000</v>
      </c>
      <c r="H7" s="13">
        <v>8000</v>
      </c>
      <c r="I7" s="13">
        <v>132000</v>
      </c>
      <c r="J7" s="16">
        <v>96200</v>
      </c>
      <c r="K7" s="13">
        <v>62000</v>
      </c>
    </row>
    <row r="8" spans="1:11" x14ac:dyDescent="0.2">
      <c r="A8" s="2" t="s">
        <v>148</v>
      </c>
      <c r="B8" s="2"/>
      <c r="C8" s="2"/>
      <c r="D8" s="15">
        <v>1600</v>
      </c>
      <c r="E8" s="15">
        <v>1600</v>
      </c>
      <c r="F8" s="15">
        <v>1600</v>
      </c>
      <c r="G8" s="15">
        <v>1600</v>
      </c>
      <c r="H8" s="15">
        <v>1600</v>
      </c>
      <c r="I8" s="15">
        <v>1600</v>
      </c>
      <c r="J8" s="15">
        <v>1200</v>
      </c>
      <c r="K8" s="15">
        <v>1600</v>
      </c>
    </row>
    <row r="9" spans="1:11" x14ac:dyDescent="0.2">
      <c r="A9" s="2" t="s">
        <v>149</v>
      </c>
      <c r="B9" s="2"/>
      <c r="C9" s="2"/>
      <c r="D9" s="15">
        <v>9</v>
      </c>
      <c r="E9" s="15">
        <v>8</v>
      </c>
      <c r="F9" s="15">
        <v>10</v>
      </c>
      <c r="G9" s="15">
        <v>6</v>
      </c>
      <c r="H9" s="15">
        <v>10</v>
      </c>
      <c r="I9" s="15">
        <v>8</v>
      </c>
      <c r="J9" s="15">
        <v>12</v>
      </c>
      <c r="K9" s="15">
        <v>9</v>
      </c>
    </row>
    <row r="10" spans="1:11" x14ac:dyDescent="0.2">
      <c r="A10" s="2" t="s">
        <v>150</v>
      </c>
      <c r="B10" s="2"/>
      <c r="C10" s="2"/>
      <c r="D10" s="17">
        <v>14400</v>
      </c>
      <c r="E10" s="15">
        <v>12800</v>
      </c>
      <c r="F10" s="15">
        <v>16000</v>
      </c>
      <c r="G10" s="15">
        <v>9600</v>
      </c>
      <c r="H10" s="15">
        <v>16000</v>
      </c>
      <c r="I10" s="15">
        <v>12800</v>
      </c>
      <c r="J10" s="15">
        <v>14400</v>
      </c>
      <c r="K10" s="17">
        <v>14400</v>
      </c>
    </row>
    <row r="11" spans="1:11" x14ac:dyDescent="0.2">
      <c r="A11" s="2" t="s">
        <v>151</v>
      </c>
      <c r="B11" s="2"/>
      <c r="C11" s="2"/>
      <c r="D11" s="15">
        <v>8</v>
      </c>
      <c r="E11" s="15">
        <v>11.5</v>
      </c>
      <c r="F11" s="15">
        <v>9.5</v>
      </c>
      <c r="G11" s="15">
        <v>5.5</v>
      </c>
      <c r="H11" s="15">
        <v>0.30000000000000004</v>
      </c>
      <c r="I11" s="15">
        <v>12</v>
      </c>
      <c r="J11" s="15">
        <v>18.600000000000001</v>
      </c>
      <c r="K11" s="15">
        <v>5</v>
      </c>
    </row>
    <row r="12" spans="1:11" x14ac:dyDescent="0.2">
      <c r="A12" s="2" t="s">
        <v>152</v>
      </c>
      <c r="B12" s="2"/>
      <c r="C12" s="2"/>
      <c r="D12" s="67">
        <f>'1) YG Cost Inputs'!$D$18</f>
        <v>3.661</v>
      </c>
      <c r="E12" s="67">
        <f>'1) YG Cost Inputs'!$D$18</f>
        <v>3.661</v>
      </c>
      <c r="F12" s="67">
        <f>'1) YG Cost Inputs'!$D$18</f>
        <v>3.661</v>
      </c>
      <c r="G12" s="67">
        <f>'1) YG Cost Inputs'!$D$18</f>
        <v>3.661</v>
      </c>
      <c r="H12" s="67">
        <f>'1) YG Cost Inputs'!$D$18</f>
        <v>3.661</v>
      </c>
      <c r="I12" s="67">
        <f>'1) YG Cost Inputs'!$D$18</f>
        <v>3.661</v>
      </c>
      <c r="J12" s="67">
        <f>'1) YG Cost Inputs'!$D$18</f>
        <v>3.661</v>
      </c>
      <c r="K12" s="67">
        <f>'1) YG Cost Inputs'!$D$18</f>
        <v>3.661</v>
      </c>
    </row>
    <row r="13" spans="1:11" x14ac:dyDescent="0.2">
      <c r="A13" s="2" t="s">
        <v>153</v>
      </c>
      <c r="B13" s="2"/>
      <c r="C13" s="2"/>
      <c r="D13" s="15">
        <v>14</v>
      </c>
      <c r="E13" s="15">
        <v>14</v>
      </c>
      <c r="F13" s="15">
        <v>14</v>
      </c>
      <c r="G13" s="15">
        <v>14</v>
      </c>
      <c r="H13" s="15">
        <v>14</v>
      </c>
      <c r="I13" s="15">
        <v>14</v>
      </c>
      <c r="J13" s="15">
        <v>14</v>
      </c>
      <c r="K13" s="15">
        <v>14</v>
      </c>
    </row>
    <row r="14" spans="1:11" x14ac:dyDescent="0.2">
      <c r="A14" s="2" t="s">
        <v>154</v>
      </c>
      <c r="B14" s="2"/>
      <c r="C14" s="2"/>
      <c r="D14" s="15">
        <v>125</v>
      </c>
      <c r="E14" s="15">
        <v>125</v>
      </c>
      <c r="F14" s="15">
        <v>115</v>
      </c>
      <c r="G14" s="15">
        <v>100</v>
      </c>
      <c r="H14" s="15">
        <v>100</v>
      </c>
      <c r="I14" s="15">
        <v>125</v>
      </c>
      <c r="J14" s="15">
        <v>125</v>
      </c>
      <c r="K14" s="15">
        <v>125</v>
      </c>
    </row>
    <row r="15" spans="1:11" x14ac:dyDescent="0.2">
      <c r="A15" s="2"/>
      <c r="B15" s="2"/>
      <c r="C15" s="2"/>
      <c r="D15" s="2"/>
      <c r="E15" s="2"/>
      <c r="F15" s="2"/>
      <c r="G15" s="2"/>
      <c r="H15" s="2"/>
      <c r="I15" s="2"/>
      <c r="J15" s="2"/>
      <c r="K15" s="2"/>
    </row>
    <row r="16" spans="1:11" x14ac:dyDescent="0.2">
      <c r="A16" s="2"/>
      <c r="B16" s="2"/>
      <c r="C16" s="18"/>
      <c r="D16" s="19"/>
      <c r="E16" s="19"/>
      <c r="F16" s="19"/>
      <c r="G16" s="19"/>
      <c r="H16" s="19"/>
      <c r="I16" s="19"/>
      <c r="J16" s="20"/>
      <c r="K16" s="19"/>
    </row>
    <row r="17" spans="1:11" x14ac:dyDescent="0.2">
      <c r="A17" s="2" t="s">
        <v>155</v>
      </c>
      <c r="B17" s="2"/>
      <c r="C17" s="18"/>
      <c r="D17" s="19"/>
      <c r="E17" s="19"/>
      <c r="F17" s="19"/>
      <c r="G17" s="19"/>
      <c r="H17" s="19"/>
      <c r="I17" s="19"/>
      <c r="J17" s="20"/>
      <c r="K17" s="19"/>
    </row>
    <row r="18" spans="1:11" x14ac:dyDescent="0.2">
      <c r="A18" s="2"/>
      <c r="B18" s="2" t="s">
        <v>156</v>
      </c>
      <c r="C18" s="18"/>
      <c r="D18" s="21">
        <f t="shared" ref="D18:K18" si="0">(D5-D5*D6/100)/(D8*D9)</f>
        <v>37.523966144444444</v>
      </c>
      <c r="E18" s="21">
        <f t="shared" si="0"/>
        <v>59.796958162499998</v>
      </c>
      <c r="F18" s="21">
        <f t="shared" si="0"/>
        <v>50.401511530000001</v>
      </c>
      <c r="G18" s="21">
        <f t="shared" si="0"/>
        <v>43.027540799999997</v>
      </c>
      <c r="H18" s="21">
        <f t="shared" si="0"/>
        <v>3.3233919999999997</v>
      </c>
      <c r="I18" s="21">
        <f t="shared" si="0"/>
        <v>63.001889412500006</v>
      </c>
      <c r="J18" s="21">
        <f t="shared" si="0"/>
        <v>46.158222222222221</v>
      </c>
      <c r="K18" s="21">
        <f t="shared" si="0"/>
        <v>16.91936847777778</v>
      </c>
    </row>
    <row r="19" spans="1:11" x14ac:dyDescent="0.2">
      <c r="A19" s="2"/>
      <c r="B19" s="2" t="s">
        <v>9</v>
      </c>
      <c r="C19" s="18"/>
      <c r="D19" s="21">
        <f t="shared" ref="D19:K19" si="1">SUM(D18:D18)</f>
        <v>37.523966144444444</v>
      </c>
      <c r="E19" s="21">
        <f t="shared" si="1"/>
        <v>59.796958162499998</v>
      </c>
      <c r="F19" s="21">
        <f t="shared" si="1"/>
        <v>50.401511530000001</v>
      </c>
      <c r="G19" s="21">
        <f t="shared" si="1"/>
        <v>43.027540799999997</v>
      </c>
      <c r="H19" s="21">
        <f t="shared" si="1"/>
        <v>3.3233919999999997</v>
      </c>
      <c r="I19" s="21">
        <f t="shared" si="1"/>
        <v>63.001889412500006</v>
      </c>
      <c r="J19" s="21">
        <f t="shared" si="1"/>
        <v>46.158222222222221</v>
      </c>
      <c r="K19" s="21">
        <f t="shared" si="1"/>
        <v>16.91936847777778</v>
      </c>
    </row>
    <row r="20" spans="1:11" x14ac:dyDescent="0.2">
      <c r="A20" s="2"/>
      <c r="B20" s="2"/>
      <c r="C20" s="18"/>
      <c r="D20" s="22"/>
      <c r="E20" s="22"/>
      <c r="F20" s="22"/>
      <c r="G20" s="22"/>
      <c r="H20" s="22"/>
      <c r="I20" s="22"/>
      <c r="J20" s="22"/>
      <c r="K20" s="22"/>
    </row>
    <row r="21" spans="1:11" x14ac:dyDescent="0.2">
      <c r="A21" s="2" t="s">
        <v>157</v>
      </c>
      <c r="B21" s="2"/>
      <c r="C21" s="18"/>
      <c r="D21" s="22"/>
      <c r="E21" s="22"/>
      <c r="F21" s="22"/>
      <c r="G21" s="22"/>
      <c r="H21" s="22"/>
      <c r="I21" s="22"/>
      <c r="J21" s="22"/>
      <c r="K21" s="22"/>
    </row>
    <row r="22" spans="1:11" x14ac:dyDescent="0.2">
      <c r="A22" s="2"/>
      <c r="B22" s="2" t="s">
        <v>158</v>
      </c>
      <c r="C22" s="2"/>
      <c r="D22" s="21">
        <f>D11*D12*(1+D13/100)</f>
        <v>33.388320000000007</v>
      </c>
      <c r="E22" s="21">
        <f t="shared" ref="E22:K22" si="2">E11*E12*(1+E13/100)</f>
        <v>47.99571000000001</v>
      </c>
      <c r="F22" s="21">
        <f t="shared" si="2"/>
        <v>39.648630000000004</v>
      </c>
      <c r="G22" s="21">
        <f t="shared" si="2"/>
        <v>22.954470000000004</v>
      </c>
      <c r="H22" s="21">
        <f t="shared" si="2"/>
        <v>1.2520620000000005</v>
      </c>
      <c r="I22" s="21">
        <f t="shared" si="2"/>
        <v>50.082480000000011</v>
      </c>
      <c r="J22" s="21">
        <f t="shared" si="2"/>
        <v>77.62784400000001</v>
      </c>
      <c r="K22" s="21">
        <f t="shared" si="2"/>
        <v>20.867700000000003</v>
      </c>
    </row>
    <row r="23" spans="1:11" x14ac:dyDescent="0.2">
      <c r="A23" s="2"/>
      <c r="B23" s="2" t="s">
        <v>159</v>
      </c>
      <c r="C23" s="2"/>
      <c r="D23" s="21">
        <f t="shared" ref="D23:K23" si="3">D14/100*D18</f>
        <v>46.904957680555555</v>
      </c>
      <c r="E23" s="21">
        <f t="shared" si="3"/>
        <v>74.746197703124992</v>
      </c>
      <c r="F23" s="21">
        <f t="shared" si="3"/>
        <v>57.961738259499995</v>
      </c>
      <c r="G23" s="21">
        <f t="shared" si="3"/>
        <v>43.027540799999997</v>
      </c>
      <c r="H23" s="21">
        <f t="shared" si="3"/>
        <v>3.3233919999999997</v>
      </c>
      <c r="I23" s="21">
        <f t="shared" si="3"/>
        <v>78.752361765625011</v>
      </c>
      <c r="J23" s="21">
        <f t="shared" si="3"/>
        <v>57.697777777777773</v>
      </c>
      <c r="K23" s="21">
        <f t="shared" si="3"/>
        <v>21.149210597222226</v>
      </c>
    </row>
    <row r="24" spans="1:11" x14ac:dyDescent="0.2">
      <c r="A24" s="2"/>
      <c r="B24" s="2" t="s">
        <v>9</v>
      </c>
      <c r="C24" s="2"/>
      <c r="D24" s="21">
        <f t="shared" ref="D24:K24" si="4">SUM(D22:D23)</f>
        <v>80.293277680555562</v>
      </c>
      <c r="E24" s="21">
        <f t="shared" si="4"/>
        <v>122.74190770312501</v>
      </c>
      <c r="F24" s="21">
        <f t="shared" si="4"/>
        <v>97.610368259500007</v>
      </c>
      <c r="G24" s="21">
        <f t="shared" si="4"/>
        <v>65.982010799999998</v>
      </c>
      <c r="H24" s="21">
        <f t="shared" si="4"/>
        <v>4.5754540000000006</v>
      </c>
      <c r="I24" s="21">
        <f t="shared" si="4"/>
        <v>128.83484176562501</v>
      </c>
      <c r="J24" s="21">
        <f t="shared" si="4"/>
        <v>135.32562177777777</v>
      </c>
      <c r="K24" s="21">
        <f t="shared" si="4"/>
        <v>42.016910597222228</v>
      </c>
    </row>
    <row r="25" spans="1:11" x14ac:dyDescent="0.2">
      <c r="A25" s="2"/>
      <c r="B25" s="2"/>
      <c r="C25" s="2"/>
      <c r="D25" s="22"/>
      <c r="E25" s="22"/>
      <c r="F25" s="22"/>
      <c r="G25" s="22"/>
      <c r="H25" s="22"/>
      <c r="I25" s="22"/>
      <c r="J25" s="22"/>
      <c r="K25" s="22"/>
    </row>
    <row r="26" spans="1:11" x14ac:dyDescent="0.2">
      <c r="A26" s="11" t="s">
        <v>160</v>
      </c>
      <c r="B26" s="11"/>
      <c r="C26" s="11"/>
      <c r="D26" s="23">
        <f t="shared" ref="D26:K26" si="5">+D19+D24</f>
        <v>117.81724382500001</v>
      </c>
      <c r="E26" s="23">
        <f t="shared" si="5"/>
        <v>182.53886586562501</v>
      </c>
      <c r="F26" s="23">
        <f t="shared" si="5"/>
        <v>148.0118797895</v>
      </c>
      <c r="G26" s="23">
        <f t="shared" si="5"/>
        <v>109.00955159999999</v>
      </c>
      <c r="H26" s="23">
        <f t="shared" si="5"/>
        <v>7.8988460000000007</v>
      </c>
      <c r="I26" s="23">
        <f t="shared" si="5"/>
        <v>191.83673117812504</v>
      </c>
      <c r="J26" s="23">
        <f t="shared" si="5"/>
        <v>181.48384399999998</v>
      </c>
      <c r="K26" s="23">
        <f t="shared" si="5"/>
        <v>58.936279075000009</v>
      </c>
    </row>
  </sheetData>
  <pageMargins left="0.28749999999999998" right="0.28749999999999998" top="0.30277777777777776" bottom="0.55277777777777781" header="0.28749999999999998" footer="0.28749999999999998"/>
  <pageSetup paperSize="3" firstPageNumber="0" orientation="landscape"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M37"/>
  <sheetViews>
    <sheetView workbookViewId="0">
      <selection activeCell="A38" sqref="A38"/>
    </sheetView>
  </sheetViews>
  <sheetFormatPr defaultColWidth="11.28515625" defaultRowHeight="12.75" x14ac:dyDescent="0.2"/>
  <sheetData>
    <row r="1" spans="1:13" x14ac:dyDescent="0.2">
      <c r="A1" s="1" t="s">
        <v>132</v>
      </c>
    </row>
    <row r="2" spans="1:13" x14ac:dyDescent="0.2">
      <c r="A2" s="1" t="s">
        <v>569</v>
      </c>
      <c r="H2" s="1" t="s">
        <v>570</v>
      </c>
    </row>
    <row r="4" spans="1:13" x14ac:dyDescent="0.2">
      <c r="A4" t="s">
        <v>571</v>
      </c>
      <c r="D4" s="24">
        <f>'1) YG Cost Inputs'!H10+'1) YG Cost Inputs'!H15</f>
        <v>2696267.9296000004</v>
      </c>
      <c r="H4" t="s">
        <v>571</v>
      </c>
      <c r="K4" s="24">
        <f>'1) YG Cost Inputs'!H12+'1) YG Cost Inputs'!H16</f>
        <v>2197421.5976</v>
      </c>
    </row>
    <row r="5" spans="1:13" x14ac:dyDescent="0.2">
      <c r="A5" t="s">
        <v>146</v>
      </c>
      <c r="D5" s="25">
        <v>25</v>
      </c>
      <c r="H5" t="s">
        <v>146</v>
      </c>
      <c r="K5" s="25">
        <v>25</v>
      </c>
    </row>
    <row r="6" spans="1:13" x14ac:dyDescent="0.2">
      <c r="A6" t="s">
        <v>147</v>
      </c>
      <c r="D6" s="24">
        <f>D5/100*D4</f>
        <v>674066.9824000001</v>
      </c>
      <c r="H6" t="s">
        <v>147</v>
      </c>
      <c r="K6" s="24">
        <f>K5/100*K4</f>
        <v>549355.39939999999</v>
      </c>
    </row>
    <row r="7" spans="1:13" x14ac:dyDescent="0.2">
      <c r="A7" t="s">
        <v>161</v>
      </c>
      <c r="D7" s="25">
        <v>800</v>
      </c>
      <c r="H7" t="s">
        <v>161</v>
      </c>
      <c r="K7" s="25">
        <v>800</v>
      </c>
    </row>
    <row r="8" spans="1:13" x14ac:dyDescent="0.2">
      <c r="A8" t="s">
        <v>149</v>
      </c>
      <c r="D8" s="25">
        <v>10</v>
      </c>
      <c r="H8" t="s">
        <v>149</v>
      </c>
      <c r="K8" s="25">
        <v>10</v>
      </c>
    </row>
    <row r="9" spans="1:13" x14ac:dyDescent="0.2">
      <c r="A9" t="s">
        <v>150</v>
      </c>
      <c r="D9" s="25">
        <f>D7*D8</f>
        <v>8000</v>
      </c>
      <c r="H9" t="s">
        <v>150</v>
      </c>
      <c r="K9" s="25">
        <f>K7*K8</f>
        <v>8000</v>
      </c>
    </row>
    <row r="10" spans="1:13" x14ac:dyDescent="0.2">
      <c r="A10" t="s">
        <v>151</v>
      </c>
      <c r="D10" s="25">
        <v>17.399999999999999</v>
      </c>
      <c r="H10" t="s">
        <v>151</v>
      </c>
      <c r="K10" s="25">
        <v>11</v>
      </c>
    </row>
    <row r="11" spans="1:13" x14ac:dyDescent="0.2">
      <c r="A11" t="s">
        <v>152</v>
      </c>
      <c r="D11" s="68">
        <f>'1) YG Cost Inputs'!D18</f>
        <v>3.661</v>
      </c>
      <c r="H11" t="s">
        <v>152</v>
      </c>
      <c r="K11" s="68">
        <f>'1) YG Cost Inputs'!D18</f>
        <v>3.661</v>
      </c>
    </row>
    <row r="12" spans="1:13" x14ac:dyDescent="0.2">
      <c r="A12" t="s">
        <v>153</v>
      </c>
      <c r="D12" s="25">
        <v>14</v>
      </c>
      <c r="H12" t="s">
        <v>153</v>
      </c>
      <c r="K12" s="25">
        <v>14</v>
      </c>
    </row>
    <row r="13" spans="1:13" x14ac:dyDescent="0.2">
      <c r="A13" t="s">
        <v>154</v>
      </c>
      <c r="D13" s="25">
        <v>120</v>
      </c>
      <c r="H13" t="s">
        <v>154</v>
      </c>
      <c r="K13" s="25">
        <v>120</v>
      </c>
    </row>
    <row r="16" spans="1:13" x14ac:dyDescent="0.2">
      <c r="A16" t="s">
        <v>162</v>
      </c>
      <c r="C16" t="s">
        <v>163</v>
      </c>
      <c r="D16" t="s">
        <v>164</v>
      </c>
      <c r="E16" t="s">
        <v>165</v>
      </c>
      <c r="F16" t="s">
        <v>166</v>
      </c>
      <c r="H16" t="s">
        <v>162</v>
      </c>
      <c r="J16" t="s">
        <v>163</v>
      </c>
      <c r="K16" t="s">
        <v>164</v>
      </c>
      <c r="L16" t="s">
        <v>165</v>
      </c>
      <c r="M16" t="s">
        <v>166</v>
      </c>
    </row>
    <row r="17" spans="1:13" x14ac:dyDescent="0.2">
      <c r="B17" t="s">
        <v>167</v>
      </c>
      <c r="C17" s="26">
        <v>1400</v>
      </c>
      <c r="D17" s="27">
        <f>F17*'1) YG Cost Inputs'!H38</f>
        <v>7974.1935000000003</v>
      </c>
      <c r="E17" s="9" t="s">
        <v>168</v>
      </c>
      <c r="F17" s="9">
        <v>2250</v>
      </c>
      <c r="I17" t="s">
        <v>169</v>
      </c>
      <c r="J17" s="9">
        <v>1400</v>
      </c>
      <c r="K17" s="27">
        <f>M17*'1) YG Cost Inputs'!H36</f>
        <v>13117.0128</v>
      </c>
      <c r="L17" s="28" t="s">
        <v>170</v>
      </c>
      <c r="M17" s="28">
        <v>2400</v>
      </c>
    </row>
    <row r="18" spans="1:13" x14ac:dyDescent="0.2">
      <c r="B18" t="s">
        <v>171</v>
      </c>
      <c r="C18" s="26">
        <v>1400</v>
      </c>
      <c r="D18" s="27">
        <f>F18*'1) YG Cost Inputs'!H38</f>
        <v>7974.1935000000003</v>
      </c>
      <c r="E18" s="9" t="s">
        <v>168</v>
      </c>
      <c r="F18" s="9">
        <v>2250</v>
      </c>
      <c r="I18" t="s">
        <v>167</v>
      </c>
      <c r="J18" s="25">
        <v>1400</v>
      </c>
      <c r="K18" s="27">
        <f>M18*'1) YG Cost Inputs'!H38</f>
        <v>8151.3977999999997</v>
      </c>
      <c r="L18" s="28" t="s">
        <v>172</v>
      </c>
      <c r="M18" s="28">
        <v>2300</v>
      </c>
    </row>
    <row r="19" spans="1:13" x14ac:dyDescent="0.2">
      <c r="B19" t="s">
        <v>173</v>
      </c>
      <c r="C19" s="26">
        <v>700</v>
      </c>
      <c r="D19" s="27">
        <f>F19*'1) YG Cost Inputs'!H38</f>
        <v>20059.526760000001</v>
      </c>
      <c r="E19" s="9" t="s">
        <v>168</v>
      </c>
      <c r="F19" s="9">
        <v>5660</v>
      </c>
      <c r="I19" t="s">
        <v>171</v>
      </c>
      <c r="J19" s="25">
        <v>1400</v>
      </c>
      <c r="K19" s="27">
        <f>M19*'1) YG Cost Inputs'!H38</f>
        <v>8151.3977999999997</v>
      </c>
      <c r="L19" s="28" t="s">
        <v>172</v>
      </c>
      <c r="M19" s="28">
        <v>2300</v>
      </c>
    </row>
    <row r="20" spans="1:13" x14ac:dyDescent="0.2">
      <c r="B20" t="s">
        <v>174</v>
      </c>
      <c r="C20" s="26">
        <v>7000</v>
      </c>
      <c r="D20" s="27">
        <f>F20*'1) YG Cost Inputs'!H41</f>
        <v>6991.5859199999995</v>
      </c>
      <c r="E20" s="9" t="s">
        <v>175</v>
      </c>
      <c r="F20" s="9">
        <v>5440</v>
      </c>
      <c r="I20" t="s">
        <v>173</v>
      </c>
      <c r="J20" s="25">
        <v>1400</v>
      </c>
      <c r="K20" s="27">
        <f>M20*'1) YG Cost Inputs'!H39</f>
        <v>8599.2767999999996</v>
      </c>
      <c r="L20" s="28" t="s">
        <v>176</v>
      </c>
      <c r="M20" s="28">
        <v>3600</v>
      </c>
    </row>
    <row r="21" spans="1:13" x14ac:dyDescent="0.2">
      <c r="B21" t="s">
        <v>177</v>
      </c>
      <c r="C21" s="26">
        <v>360</v>
      </c>
      <c r="D21" s="27">
        <f>10*'1) YG Cost Inputs'!H43</f>
        <v>1485.7899</v>
      </c>
      <c r="E21" s="9" t="s">
        <v>178</v>
      </c>
      <c r="F21" s="9"/>
      <c r="I21" t="s">
        <v>174</v>
      </c>
      <c r="J21" s="25">
        <v>6000</v>
      </c>
      <c r="K21" s="27">
        <f>M21*'1) YG Cost Inputs'!H41</f>
        <v>5140.8720000000003</v>
      </c>
      <c r="L21" s="28" t="s">
        <v>179</v>
      </c>
      <c r="M21" s="28">
        <v>4000</v>
      </c>
    </row>
    <row r="22" spans="1:13" x14ac:dyDescent="0.2">
      <c r="B22" t="s">
        <v>180</v>
      </c>
      <c r="C22" s="26">
        <v>14000</v>
      </c>
      <c r="D22" s="27">
        <f>F22*'1) YG Cost Inputs'!H36</f>
        <v>2459.4399000000003</v>
      </c>
      <c r="E22" s="9" t="s">
        <v>181</v>
      </c>
      <c r="F22" s="9">
        <v>450</v>
      </c>
      <c r="I22" t="s">
        <v>177</v>
      </c>
      <c r="J22" s="25">
        <v>120</v>
      </c>
      <c r="K22" s="27">
        <f>10*'1) YG Cost Inputs'!H43</f>
        <v>1485.7899</v>
      </c>
      <c r="L22" s="28" t="s">
        <v>182</v>
      </c>
      <c r="M22" s="28"/>
    </row>
    <row r="23" spans="1:13" x14ac:dyDescent="0.2">
      <c r="B23" t="s">
        <v>183</v>
      </c>
      <c r="C23" s="26">
        <v>14000</v>
      </c>
      <c r="D23" s="27">
        <f>'1) YG Cost Inputs'!D15</f>
        <v>60700</v>
      </c>
      <c r="E23" s="9"/>
      <c r="F23" s="9"/>
      <c r="I23" t="s">
        <v>180</v>
      </c>
      <c r="J23" s="25">
        <v>18000</v>
      </c>
      <c r="K23" s="27">
        <f>M23*'1) YG Cost Inputs'!H36</f>
        <v>2459.4399000000003</v>
      </c>
      <c r="L23" s="28" t="s">
        <v>184</v>
      </c>
      <c r="M23" s="28">
        <v>450</v>
      </c>
    </row>
    <row r="24" spans="1:13" x14ac:dyDescent="0.2">
      <c r="B24" t="s">
        <v>185</v>
      </c>
      <c r="C24" s="26">
        <v>7000</v>
      </c>
      <c r="D24" s="27">
        <v>14288</v>
      </c>
      <c r="E24" t="s">
        <v>186</v>
      </c>
      <c r="I24" t="s">
        <v>187</v>
      </c>
      <c r="J24" s="25">
        <v>18000</v>
      </c>
      <c r="K24" s="27">
        <f>'1) YG Cost Inputs'!D16</f>
        <v>71200</v>
      </c>
    </row>
    <row r="25" spans="1:13" x14ac:dyDescent="0.2">
      <c r="C25" s="26"/>
      <c r="D25" s="29"/>
      <c r="I25" t="s">
        <v>185</v>
      </c>
      <c r="J25" s="25">
        <v>9000</v>
      </c>
      <c r="K25" s="27">
        <v>14288</v>
      </c>
      <c r="L25" t="s">
        <v>186</v>
      </c>
    </row>
    <row r="26" spans="1:13" x14ac:dyDescent="0.2">
      <c r="A26" t="s">
        <v>155</v>
      </c>
      <c r="C26" s="26"/>
      <c r="D26" s="29"/>
      <c r="E26" s="30"/>
      <c r="J26" s="26"/>
      <c r="K26" s="29"/>
    </row>
    <row r="27" spans="1:13" x14ac:dyDescent="0.2">
      <c r="B27" t="s">
        <v>156</v>
      </c>
      <c r="C27" s="26"/>
      <c r="D27" s="31">
        <f>(D4-D4*D5/100)/(D7*D8)</f>
        <v>252.77511840000003</v>
      </c>
      <c r="E27" s="32"/>
      <c r="H27" t="s">
        <v>155</v>
      </c>
      <c r="J27" s="26"/>
      <c r="K27" s="29"/>
    </row>
    <row r="28" spans="1:13" x14ac:dyDescent="0.2">
      <c r="B28" t="s">
        <v>9</v>
      </c>
      <c r="C28" s="26"/>
      <c r="D28" s="31">
        <f>SUM(D27:D27)</f>
        <v>252.77511840000003</v>
      </c>
      <c r="E28" s="32"/>
      <c r="I28" t="s">
        <v>156</v>
      </c>
      <c r="J28" s="26"/>
      <c r="K28" s="31">
        <f>(K4-K4*K5/100)/(K7*K8)</f>
        <v>206.00827477499999</v>
      </c>
    </row>
    <row r="29" spans="1:13" x14ac:dyDescent="0.2">
      <c r="C29" s="26"/>
      <c r="D29" s="32"/>
      <c r="E29" s="29"/>
      <c r="I29" t="s">
        <v>9</v>
      </c>
      <c r="J29" s="26"/>
      <c r="K29" s="31">
        <f>SUM(K28:K28)</f>
        <v>206.00827477499999</v>
      </c>
    </row>
    <row r="30" spans="1:13" x14ac:dyDescent="0.2">
      <c r="A30" t="s">
        <v>157</v>
      </c>
      <c r="C30" s="26"/>
      <c r="D30" s="32"/>
      <c r="E30" s="29"/>
      <c r="J30" s="26"/>
      <c r="K30" s="32"/>
    </row>
    <row r="31" spans="1:13" x14ac:dyDescent="0.2">
      <c r="B31" t="s">
        <v>188</v>
      </c>
      <c r="D31" s="31">
        <f>D17/C17+D18/C18+D19/C19+D20/C20+D21/C21+D22/C22+D23/C23+D24/C24</f>
        <v>51.726695376666669</v>
      </c>
      <c r="E31" s="32"/>
      <c r="H31" t="s">
        <v>157</v>
      </c>
      <c r="J31" s="26"/>
      <c r="K31" s="32"/>
    </row>
    <row r="32" spans="1:13" x14ac:dyDescent="0.2">
      <c r="B32" t="s">
        <v>158</v>
      </c>
      <c r="D32" s="31">
        <f>D10*D11*(1+D12/100)</f>
        <v>72.619596000000001</v>
      </c>
      <c r="E32" s="32"/>
      <c r="I32" t="s">
        <v>188</v>
      </c>
      <c r="K32" s="31">
        <f>K17/J17+K18/J18+K19/J19+K20/J20+K21/J21+K22/J22+K23/J23+K24/J24+K25/J25</f>
        <v>46.074630589682542</v>
      </c>
    </row>
    <row r="33" spans="1:11" x14ac:dyDescent="0.2">
      <c r="B33" t="s">
        <v>159</v>
      </c>
      <c r="D33" s="31">
        <f>D13/100*D27</f>
        <v>303.33014208000003</v>
      </c>
      <c r="E33" s="32"/>
      <c r="I33" t="s">
        <v>158</v>
      </c>
      <c r="K33" s="31">
        <f>K10*K11*(1+K12/100)</f>
        <v>45.908940000000008</v>
      </c>
    </row>
    <row r="34" spans="1:11" x14ac:dyDescent="0.2">
      <c r="B34" t="s">
        <v>9</v>
      </c>
      <c r="D34" s="31">
        <f>SUM(D31:D33)</f>
        <v>427.6764334566667</v>
      </c>
      <c r="E34" s="32"/>
      <c r="I34" t="s">
        <v>159</v>
      </c>
      <c r="K34" s="31">
        <f>K13/100*K28</f>
        <v>247.20992972999997</v>
      </c>
    </row>
    <row r="35" spans="1:11" x14ac:dyDescent="0.2">
      <c r="D35" s="32"/>
      <c r="E35" s="32"/>
      <c r="I35" t="s">
        <v>9</v>
      </c>
      <c r="K35" s="31">
        <f>SUM(K32:K34)</f>
        <v>339.19350031968253</v>
      </c>
    </row>
    <row r="36" spans="1:11" x14ac:dyDescent="0.2">
      <c r="A36" t="s">
        <v>160</v>
      </c>
      <c r="D36" s="33">
        <f>+D28+D34</f>
        <v>680.4515518566667</v>
      </c>
      <c r="E36" s="32"/>
      <c r="K36" s="32"/>
    </row>
    <row r="37" spans="1:11" x14ac:dyDescent="0.2">
      <c r="H37" t="s">
        <v>160</v>
      </c>
      <c r="K37" s="33">
        <f>+K29+K35</f>
        <v>545.20177509468249</v>
      </c>
    </row>
  </sheetData>
  <printOptions gridLines="1"/>
  <pageMargins left="0.28749999999999998" right="0.28749999999999998" top="0.30277777777777798" bottom="0.55277777777777803" header="0.28749999999999998" footer="0.28749999999999998"/>
  <pageSetup paperSize="3" firstPageNumber="0" orientation="landscape" horizontalDpi="300" verticalDpi="300" r:id="rId1"/>
  <headerFooter alignWithMargins="0">
    <oddHeader>&amp;C&amp;"Times New Roman,Regular"&amp;12&amp;A</oddHeader>
    <oddFooter>&amp;C&amp;"Times New Roman,Regular"&amp;12Page &amp;P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F95"/>
  <sheetViews>
    <sheetView zoomScaleNormal="100" workbookViewId="0">
      <selection activeCell="A2" sqref="A2"/>
    </sheetView>
  </sheetViews>
  <sheetFormatPr defaultColWidth="11.28515625" defaultRowHeight="12.75" x14ac:dyDescent="0.2"/>
  <cols>
    <col min="1" max="1" width="13.28515625" customWidth="1"/>
    <col min="2" max="2" width="23" customWidth="1"/>
  </cols>
  <sheetData>
    <row r="1" spans="1:6" x14ac:dyDescent="0.2">
      <c r="A1" s="1" t="s">
        <v>189</v>
      </c>
      <c r="E1" t="s">
        <v>381</v>
      </c>
    </row>
    <row r="2" spans="1:6" x14ac:dyDescent="0.2">
      <c r="A2" s="1"/>
      <c r="E2" t="s">
        <v>379</v>
      </c>
    </row>
    <row r="3" spans="1:6" x14ac:dyDescent="0.2">
      <c r="E3" t="s">
        <v>380</v>
      </c>
    </row>
    <row r="4" spans="1:6" x14ac:dyDescent="0.2">
      <c r="A4" t="s">
        <v>190</v>
      </c>
      <c r="C4" s="1" t="s">
        <v>191</v>
      </c>
      <c r="D4" s="1" t="s">
        <v>192</v>
      </c>
      <c r="E4" s="1" t="s">
        <v>193</v>
      </c>
      <c r="F4" s="1" t="s">
        <v>193</v>
      </c>
    </row>
    <row r="5" spans="1:6" x14ac:dyDescent="0.2">
      <c r="C5" s="1"/>
      <c r="D5" s="1"/>
      <c r="E5" s="1" t="s">
        <v>194</v>
      </c>
      <c r="F5" s="1" t="s">
        <v>195</v>
      </c>
    </row>
    <row r="6" spans="1:6" x14ac:dyDescent="0.2">
      <c r="A6" s="1" t="s">
        <v>196</v>
      </c>
      <c r="B6" s="1"/>
      <c r="C6" s="1"/>
    </row>
    <row r="7" spans="1:6" x14ac:dyDescent="0.2">
      <c r="A7" t="s">
        <v>197</v>
      </c>
      <c r="B7" t="s">
        <v>110</v>
      </c>
      <c r="C7" s="9">
        <v>1</v>
      </c>
      <c r="D7" s="25">
        <v>8.3000000000000007</v>
      </c>
      <c r="E7" s="31">
        <f>'MobileEquip Hrly'!I26</f>
        <v>191.83673117812504</v>
      </c>
      <c r="F7" s="27">
        <f>+D7*E7</f>
        <v>1592.2448687784379</v>
      </c>
    </row>
    <row r="8" spans="1:6" x14ac:dyDescent="0.2">
      <c r="B8" t="s">
        <v>198</v>
      </c>
      <c r="C8" s="9">
        <v>1</v>
      </c>
      <c r="D8" s="25"/>
      <c r="E8" s="9"/>
      <c r="F8" s="27">
        <f>C8*'1) YG Cost Inputs'!D19</f>
        <v>19.02</v>
      </c>
    </row>
    <row r="9" spans="1:6" x14ac:dyDescent="0.2">
      <c r="B9" t="s">
        <v>199</v>
      </c>
      <c r="C9" s="9">
        <v>1</v>
      </c>
      <c r="D9" s="25"/>
      <c r="E9" s="9"/>
      <c r="F9" s="27">
        <f>C9*'1) YG Cost Inputs'!D20</f>
        <v>78.52</v>
      </c>
    </row>
    <row r="10" spans="1:6" x14ac:dyDescent="0.2">
      <c r="A10" t="s">
        <v>200</v>
      </c>
      <c r="B10" t="s">
        <v>201</v>
      </c>
      <c r="C10" s="9">
        <v>1</v>
      </c>
      <c r="D10" s="25">
        <v>8.8000000000000007</v>
      </c>
      <c r="E10" s="34">
        <f>'1) YG Cost Inputs'!D32</f>
        <v>65.42</v>
      </c>
      <c r="F10" s="27">
        <f>+D10*E10</f>
        <v>575.69600000000003</v>
      </c>
    </row>
    <row r="11" spans="1:6" x14ac:dyDescent="0.2">
      <c r="B11" t="s">
        <v>202</v>
      </c>
      <c r="C11" s="9">
        <v>1</v>
      </c>
      <c r="D11" s="25">
        <v>2</v>
      </c>
      <c r="E11" s="31">
        <f>E10</f>
        <v>65.42</v>
      </c>
      <c r="F11" s="27">
        <f>+D11*E11</f>
        <v>130.84</v>
      </c>
    </row>
    <row r="12" spans="1:6" x14ac:dyDescent="0.2">
      <c r="A12" s="1" t="s">
        <v>203</v>
      </c>
      <c r="B12" s="1"/>
      <c r="C12" s="1"/>
      <c r="D12" s="1"/>
      <c r="E12" s="1"/>
      <c r="F12" s="35">
        <f>SUM(F7:F11)</f>
        <v>2396.3208687784381</v>
      </c>
    </row>
    <row r="14" spans="1:6" x14ac:dyDescent="0.2">
      <c r="A14" s="1" t="s">
        <v>204</v>
      </c>
    </row>
    <row r="15" spans="1:6" x14ac:dyDescent="0.2">
      <c r="A15" t="s">
        <v>197</v>
      </c>
      <c r="B15" t="s">
        <v>104</v>
      </c>
      <c r="C15" s="9">
        <v>1</v>
      </c>
      <c r="D15" s="25">
        <v>8.3000000000000007</v>
      </c>
      <c r="E15" s="31">
        <f>'MobileEquip Hrly'!G26</f>
        <v>109.00955159999999</v>
      </c>
      <c r="F15" s="27">
        <f>+D15*E15</f>
        <v>904.77927828000009</v>
      </c>
    </row>
    <row r="16" spans="1:6" x14ac:dyDescent="0.2">
      <c r="B16" t="s">
        <v>100</v>
      </c>
      <c r="C16" s="9">
        <v>1</v>
      </c>
      <c r="D16" s="25">
        <v>8.3000000000000007</v>
      </c>
      <c r="E16" s="31">
        <f>'MobileEquip Hrly'!D26</f>
        <v>117.81724382500001</v>
      </c>
      <c r="F16" s="27">
        <f>+D16*E16</f>
        <v>977.88312374750012</v>
      </c>
    </row>
    <row r="17" spans="1:6" x14ac:dyDescent="0.2">
      <c r="B17" t="s">
        <v>198</v>
      </c>
      <c r="C17" s="9">
        <v>1</v>
      </c>
      <c r="D17" s="25"/>
      <c r="E17" s="9"/>
      <c r="F17" s="27">
        <f>C17*'1) YG Cost Inputs'!D19</f>
        <v>19.02</v>
      </c>
    </row>
    <row r="18" spans="1:6" x14ac:dyDescent="0.2">
      <c r="B18" t="s">
        <v>199</v>
      </c>
      <c r="C18" s="9">
        <v>1</v>
      </c>
      <c r="D18" s="25"/>
      <c r="E18" s="9"/>
      <c r="F18" s="27">
        <f>C18*'1) YG Cost Inputs'!D20</f>
        <v>78.52</v>
      </c>
    </row>
    <row r="19" spans="1:6" x14ac:dyDescent="0.2">
      <c r="A19" t="s">
        <v>200</v>
      </c>
      <c r="B19" t="s">
        <v>205</v>
      </c>
      <c r="C19" s="9">
        <v>1</v>
      </c>
      <c r="D19" s="25">
        <v>8.8000000000000007</v>
      </c>
      <c r="E19" s="34">
        <f>'1) YG Cost Inputs'!D31</f>
        <v>62.47</v>
      </c>
      <c r="F19" s="27">
        <f>+D19*E19</f>
        <v>549.73599999999999</v>
      </c>
    </row>
    <row r="20" spans="1:6" x14ac:dyDescent="0.2">
      <c r="B20" t="s">
        <v>206</v>
      </c>
      <c r="C20" s="9">
        <v>1</v>
      </c>
      <c r="D20" s="25">
        <v>8.8000000000000007</v>
      </c>
      <c r="E20" s="34">
        <f>'1) YG Cost Inputs'!D31</f>
        <v>62.47</v>
      </c>
      <c r="F20" s="27">
        <f>+D20*E20</f>
        <v>549.73599999999999</v>
      </c>
    </row>
    <row r="21" spans="1:6" x14ac:dyDescent="0.2">
      <c r="B21" t="s">
        <v>202</v>
      </c>
      <c r="C21" s="9">
        <v>1</v>
      </c>
      <c r="D21" s="25">
        <v>2</v>
      </c>
      <c r="E21" s="31">
        <f>AVERAGE(E19:E20)</f>
        <v>62.47</v>
      </c>
      <c r="F21" s="27">
        <f>+D21*E21</f>
        <v>124.94</v>
      </c>
    </row>
    <row r="22" spans="1:6" x14ac:dyDescent="0.2">
      <c r="A22" s="1" t="s">
        <v>207</v>
      </c>
      <c r="B22" s="1"/>
      <c r="C22" s="1"/>
      <c r="D22" s="1"/>
      <c r="E22" s="1"/>
      <c r="F22" s="35">
        <f>SUM(F15:F21)</f>
        <v>3204.6144020275001</v>
      </c>
    </row>
    <row r="24" spans="1:6" x14ac:dyDescent="0.2">
      <c r="A24" s="1" t="s">
        <v>208</v>
      </c>
    </row>
    <row r="25" spans="1:6" x14ac:dyDescent="0.2">
      <c r="A25" t="s">
        <v>197</v>
      </c>
      <c r="B25" t="s">
        <v>198</v>
      </c>
      <c r="C25" s="9">
        <v>2</v>
      </c>
      <c r="D25" s="25"/>
      <c r="E25" s="9"/>
      <c r="F25" s="27">
        <f>C25*'1) YG Cost Inputs'!D19</f>
        <v>38.04</v>
      </c>
    </row>
    <row r="26" spans="1:6" x14ac:dyDescent="0.2">
      <c r="B26" t="s">
        <v>199</v>
      </c>
      <c r="C26" s="9">
        <v>1</v>
      </c>
      <c r="D26" s="25"/>
      <c r="E26" s="9"/>
      <c r="F26" s="27">
        <f>C26*'1) YG Cost Inputs'!D20</f>
        <v>78.52</v>
      </c>
    </row>
    <row r="27" spans="1:6" x14ac:dyDescent="0.2">
      <c r="A27" t="s">
        <v>200</v>
      </c>
      <c r="B27" t="s">
        <v>116</v>
      </c>
      <c r="C27" s="9">
        <v>2</v>
      </c>
      <c r="D27" s="25">
        <v>6.5</v>
      </c>
      <c r="E27" s="34">
        <f>'1) YG Cost Inputs'!D25</f>
        <v>67.22</v>
      </c>
      <c r="F27" s="27">
        <f>+C27*D27*E27</f>
        <v>873.86</v>
      </c>
    </row>
    <row r="28" spans="1:6" x14ac:dyDescent="0.2">
      <c r="B28" t="s">
        <v>202</v>
      </c>
      <c r="C28" s="9">
        <v>1</v>
      </c>
      <c r="D28" s="25">
        <v>2</v>
      </c>
      <c r="E28" s="31">
        <f>E27</f>
        <v>67.22</v>
      </c>
      <c r="F28" s="27">
        <f>+D28*E28</f>
        <v>134.44</v>
      </c>
    </row>
    <row r="29" spans="1:6" x14ac:dyDescent="0.2">
      <c r="A29" s="1" t="s">
        <v>209</v>
      </c>
      <c r="B29" s="1"/>
      <c r="C29" s="1"/>
      <c r="D29" s="1"/>
      <c r="E29" s="1"/>
      <c r="F29" s="35">
        <f>SUM(F25:F28)</f>
        <v>1124.8600000000001</v>
      </c>
    </row>
    <row r="31" spans="1:6" x14ac:dyDescent="0.2">
      <c r="A31" s="1" t="s">
        <v>210</v>
      </c>
    </row>
    <row r="32" spans="1:6" x14ac:dyDescent="0.2">
      <c r="A32" t="s">
        <v>197</v>
      </c>
      <c r="B32" t="s">
        <v>211</v>
      </c>
      <c r="C32" s="9">
        <v>1</v>
      </c>
      <c r="D32" s="25">
        <v>8.6</v>
      </c>
      <c r="E32" s="31">
        <f>'Hrly Costs--Ydrs'!K37</f>
        <v>545.20177509468249</v>
      </c>
      <c r="F32" s="27">
        <f>+D32*E32</f>
        <v>4688.735265814269</v>
      </c>
    </row>
    <row r="33" spans="1:6" x14ac:dyDescent="0.2">
      <c r="B33" t="s">
        <v>144</v>
      </c>
      <c r="C33" s="9">
        <v>1</v>
      </c>
      <c r="D33" s="25">
        <v>8.6</v>
      </c>
      <c r="E33" s="34">
        <f>'MobileEquip Hrly'!H26</f>
        <v>7.8988460000000007</v>
      </c>
      <c r="F33" s="27">
        <f>+D33*E33</f>
        <v>67.930075600000009</v>
      </c>
    </row>
    <row r="34" spans="1:6" x14ac:dyDescent="0.2">
      <c r="B34" t="s">
        <v>100</v>
      </c>
      <c r="C34" s="9">
        <v>1</v>
      </c>
      <c r="D34" s="25">
        <v>8.6</v>
      </c>
      <c r="E34" s="31">
        <f>'MobileEquip Hrly'!D26</f>
        <v>117.81724382500001</v>
      </c>
      <c r="F34" s="27">
        <f>+D34*E34</f>
        <v>1013.228296895</v>
      </c>
    </row>
    <row r="35" spans="1:6" x14ac:dyDescent="0.2">
      <c r="B35" t="s">
        <v>198</v>
      </c>
      <c r="C35" s="9">
        <v>1</v>
      </c>
      <c r="D35" s="25"/>
      <c r="E35" s="9"/>
      <c r="F35" s="27">
        <f>C35*'1) YG Cost Inputs'!D19</f>
        <v>19.02</v>
      </c>
    </row>
    <row r="36" spans="1:6" x14ac:dyDescent="0.2">
      <c r="B36" t="s">
        <v>434</v>
      </c>
      <c r="C36" s="9">
        <v>1</v>
      </c>
      <c r="D36" s="25"/>
      <c r="E36" s="9"/>
      <c r="F36" s="27">
        <f>'1) YG Cost Inputs'!D21</f>
        <v>157.04</v>
      </c>
    </row>
    <row r="37" spans="1:6" x14ac:dyDescent="0.2">
      <c r="A37" t="s">
        <v>200</v>
      </c>
      <c r="B37" t="s">
        <v>121</v>
      </c>
      <c r="C37" s="9">
        <v>1</v>
      </c>
      <c r="D37" s="25">
        <v>9.1</v>
      </c>
      <c r="E37" s="34">
        <f>'1) YG Cost Inputs'!D30</f>
        <v>57.26</v>
      </c>
      <c r="F37" s="27">
        <f t="shared" ref="F37:F43" si="0">+D37*E37</f>
        <v>521.06599999999992</v>
      </c>
    </row>
    <row r="38" spans="1:6" x14ac:dyDescent="0.2">
      <c r="B38" t="s">
        <v>119</v>
      </c>
      <c r="C38" s="9">
        <v>1</v>
      </c>
      <c r="D38" s="25">
        <v>9.1</v>
      </c>
      <c r="E38" s="34">
        <f>'1) YG Cost Inputs'!D28</f>
        <v>49.54</v>
      </c>
      <c r="F38" s="27">
        <f t="shared" si="0"/>
        <v>450.81399999999996</v>
      </c>
    </row>
    <row r="39" spans="1:6" x14ac:dyDescent="0.2">
      <c r="B39" t="s">
        <v>117</v>
      </c>
      <c r="C39" s="9">
        <v>1</v>
      </c>
      <c r="D39" s="25">
        <v>9.1</v>
      </c>
      <c r="E39" s="34">
        <f>'1) YG Cost Inputs'!D26</f>
        <v>45.13</v>
      </c>
      <c r="F39" s="27">
        <f t="shared" si="0"/>
        <v>410.68299999999999</v>
      </c>
    </row>
    <row r="40" spans="1:6" x14ac:dyDescent="0.2">
      <c r="B40" t="s">
        <v>206</v>
      </c>
      <c r="C40" s="9">
        <v>1</v>
      </c>
      <c r="D40" s="25">
        <v>9.1</v>
      </c>
      <c r="E40" s="31">
        <f>'1) YG Cost Inputs'!D31</f>
        <v>62.47</v>
      </c>
      <c r="F40" s="27">
        <f t="shared" si="0"/>
        <v>568.47699999999998</v>
      </c>
    </row>
    <row r="41" spans="1:6" x14ac:dyDescent="0.2">
      <c r="B41" t="s">
        <v>118</v>
      </c>
      <c r="C41" s="9">
        <v>1</v>
      </c>
      <c r="D41" s="25">
        <v>9.1</v>
      </c>
      <c r="E41" s="31">
        <f>'1) YG Cost Inputs'!D27</f>
        <v>51.3</v>
      </c>
      <c r="F41" s="27">
        <f t="shared" si="0"/>
        <v>466.83</v>
      </c>
    </row>
    <row r="42" spans="1:6" x14ac:dyDescent="0.2">
      <c r="B42" t="s">
        <v>212</v>
      </c>
      <c r="C42" s="9">
        <v>1</v>
      </c>
      <c r="D42" s="25">
        <v>9.1</v>
      </c>
      <c r="E42" s="31">
        <f>'1) YG Cost Inputs'!D29</f>
        <v>56.53</v>
      </c>
      <c r="F42" s="27">
        <f t="shared" si="0"/>
        <v>514.423</v>
      </c>
    </row>
    <row r="43" spans="1:6" x14ac:dyDescent="0.2">
      <c r="B43" t="s">
        <v>213</v>
      </c>
      <c r="C43" s="9">
        <v>2</v>
      </c>
      <c r="D43" s="25">
        <v>4</v>
      </c>
      <c r="E43" s="31">
        <f>AVERAGE(E37:E42)</f>
        <v>53.705000000000005</v>
      </c>
      <c r="F43" s="27">
        <f t="shared" si="0"/>
        <v>214.82000000000002</v>
      </c>
    </row>
    <row r="44" spans="1:6" x14ac:dyDescent="0.2">
      <c r="A44" s="1" t="s">
        <v>214</v>
      </c>
      <c r="B44" s="1"/>
      <c r="C44" s="1"/>
      <c r="D44" s="1"/>
      <c r="E44" s="1"/>
      <c r="F44" s="35">
        <f>SUM(F32:F43)</f>
        <v>9093.0666383092703</v>
      </c>
    </row>
    <row r="46" spans="1:6" x14ac:dyDescent="0.2">
      <c r="A46" s="1" t="s">
        <v>215</v>
      </c>
    </row>
    <row r="47" spans="1:6" x14ac:dyDescent="0.2">
      <c r="A47" t="s">
        <v>197</v>
      </c>
      <c r="B47" t="s">
        <v>211</v>
      </c>
      <c r="C47" s="9">
        <v>1</v>
      </c>
      <c r="D47" s="25">
        <v>8.6</v>
      </c>
      <c r="E47" s="31">
        <f>'Hrly Costs--Ydrs'!D36</f>
        <v>680.4515518566667</v>
      </c>
      <c r="F47" s="27">
        <f>+D47*E47</f>
        <v>5851.8833459673333</v>
      </c>
    </row>
    <row r="48" spans="1:6" x14ac:dyDescent="0.2">
      <c r="B48" t="s">
        <v>216</v>
      </c>
      <c r="C48" s="9">
        <v>1</v>
      </c>
      <c r="D48" s="25">
        <v>2.5</v>
      </c>
      <c r="E48" s="31">
        <f>'MobileEquip Hrly'!D26</f>
        <v>117.81724382500001</v>
      </c>
      <c r="F48" s="27">
        <f>+D48*E48</f>
        <v>294.54310956250004</v>
      </c>
    </row>
    <row r="49" spans="1:6" x14ac:dyDescent="0.2">
      <c r="B49" t="s">
        <v>198</v>
      </c>
      <c r="C49" s="9">
        <v>1</v>
      </c>
      <c r="D49" s="25"/>
      <c r="E49" s="9"/>
      <c r="F49" s="27">
        <f>C49*'1) YG Cost Inputs'!D19</f>
        <v>19.02</v>
      </c>
    </row>
    <row r="50" spans="1:6" x14ac:dyDescent="0.2">
      <c r="B50" t="s">
        <v>199</v>
      </c>
      <c r="C50" s="9">
        <v>1</v>
      </c>
      <c r="D50" s="25"/>
      <c r="E50" s="9"/>
      <c r="F50" s="27">
        <f>C50*'1) YG Cost Inputs'!D20</f>
        <v>78.52</v>
      </c>
    </row>
    <row r="51" spans="1:6" x14ac:dyDescent="0.2">
      <c r="A51" t="s">
        <v>200</v>
      </c>
      <c r="B51" t="s">
        <v>121</v>
      </c>
      <c r="C51" s="9">
        <v>1</v>
      </c>
      <c r="D51" s="25">
        <v>9.1</v>
      </c>
      <c r="E51" s="34">
        <f>'1) YG Cost Inputs'!D30</f>
        <v>57.26</v>
      </c>
      <c r="F51" s="27">
        <f>+D51*E51</f>
        <v>521.06599999999992</v>
      </c>
    </row>
    <row r="52" spans="1:6" x14ac:dyDescent="0.2">
      <c r="B52" t="s">
        <v>119</v>
      </c>
      <c r="C52" s="9">
        <v>1</v>
      </c>
      <c r="D52" s="25">
        <v>9.1</v>
      </c>
      <c r="E52" s="34">
        <f>'1) YG Cost Inputs'!D28</f>
        <v>49.54</v>
      </c>
      <c r="F52" s="27">
        <f>+D52*E52</f>
        <v>450.81399999999996</v>
      </c>
    </row>
    <row r="53" spans="1:6" x14ac:dyDescent="0.2">
      <c r="B53" t="s">
        <v>212</v>
      </c>
      <c r="C53" s="9">
        <v>1</v>
      </c>
      <c r="D53" s="25">
        <v>9.4</v>
      </c>
      <c r="E53" s="31">
        <f>'1) YG Cost Inputs'!D29</f>
        <v>56.53</v>
      </c>
      <c r="F53" s="27">
        <f>+D53*E53</f>
        <v>531.38200000000006</v>
      </c>
    </row>
    <row r="54" spans="1:6" x14ac:dyDescent="0.2">
      <c r="B54" t="s">
        <v>217</v>
      </c>
      <c r="C54" s="9"/>
      <c r="D54" s="25">
        <v>2</v>
      </c>
      <c r="E54" s="31">
        <f>AVERAGE(E51:E53)</f>
        <v>54.443333333333328</v>
      </c>
      <c r="F54" s="27">
        <f>+D54*E54</f>
        <v>108.88666666666666</v>
      </c>
    </row>
    <row r="55" spans="1:6" x14ac:dyDescent="0.2">
      <c r="A55" s="1" t="s">
        <v>218</v>
      </c>
      <c r="B55" s="1"/>
      <c r="C55" s="1"/>
      <c r="D55" s="1"/>
      <c r="E55" s="1"/>
      <c r="F55" s="35">
        <f>SUM(F47:F54)</f>
        <v>7856.1151221965001</v>
      </c>
    </row>
    <row r="57" spans="1:6" x14ac:dyDescent="0.2">
      <c r="A57" s="1" t="s">
        <v>219</v>
      </c>
    </row>
    <row r="58" spans="1:6" x14ac:dyDescent="0.2">
      <c r="A58" t="s">
        <v>197</v>
      </c>
      <c r="B58" t="s">
        <v>103</v>
      </c>
      <c r="C58" s="9">
        <v>1</v>
      </c>
      <c r="D58" s="25">
        <v>8.3000000000000007</v>
      </c>
      <c r="E58" s="31">
        <f>'MobileEquip Hrly'!F26</f>
        <v>148.0118797895</v>
      </c>
      <c r="F58" s="27">
        <f>+D58*E58</f>
        <v>1228.4986022528501</v>
      </c>
    </row>
    <row r="59" spans="1:6" x14ac:dyDescent="0.2">
      <c r="B59" t="s">
        <v>198</v>
      </c>
      <c r="C59" s="9">
        <v>1</v>
      </c>
      <c r="D59" s="25"/>
      <c r="E59" s="9"/>
      <c r="F59" s="27">
        <f>C59*'1) YG Cost Inputs'!D19</f>
        <v>19.02</v>
      </c>
    </row>
    <row r="60" spans="1:6" x14ac:dyDescent="0.2">
      <c r="B60" t="s">
        <v>199</v>
      </c>
      <c r="C60" s="9">
        <v>1</v>
      </c>
      <c r="D60" s="25"/>
      <c r="E60" s="9"/>
      <c r="F60" s="27">
        <f>C60*'1) YG Cost Inputs'!D20</f>
        <v>78.52</v>
      </c>
    </row>
    <row r="61" spans="1:6" x14ac:dyDescent="0.2">
      <c r="A61" t="s">
        <v>200</v>
      </c>
      <c r="B61" t="s">
        <v>220</v>
      </c>
      <c r="C61" s="9">
        <v>1</v>
      </c>
      <c r="D61" s="25">
        <v>8.8000000000000007</v>
      </c>
      <c r="E61" s="34">
        <f>'1) YG Cost Inputs'!D31</f>
        <v>62.47</v>
      </c>
      <c r="F61" s="27">
        <f>+D61*E61</f>
        <v>549.73599999999999</v>
      </c>
    </row>
    <row r="62" spans="1:6" x14ac:dyDescent="0.2">
      <c r="B62" t="s">
        <v>118</v>
      </c>
      <c r="C62" s="9">
        <v>1</v>
      </c>
      <c r="D62" s="25">
        <v>8.8000000000000007</v>
      </c>
      <c r="E62" s="31">
        <f>'1) YG Cost Inputs'!D27</f>
        <v>51.3</v>
      </c>
      <c r="F62" s="27">
        <f>+D62*E62</f>
        <v>451.44</v>
      </c>
    </row>
    <row r="63" spans="1:6" x14ac:dyDescent="0.2">
      <c r="B63" t="s">
        <v>217</v>
      </c>
      <c r="C63" s="9">
        <v>1</v>
      </c>
      <c r="D63" s="25">
        <v>2</v>
      </c>
      <c r="E63" s="31">
        <f>AVERAGE(E61:E62)</f>
        <v>56.884999999999998</v>
      </c>
      <c r="F63" s="27">
        <f>+D63*E63</f>
        <v>113.77</v>
      </c>
    </row>
    <row r="64" spans="1:6" x14ac:dyDescent="0.2">
      <c r="A64" s="1" t="s">
        <v>221</v>
      </c>
      <c r="B64" s="1"/>
      <c r="C64" s="1"/>
      <c r="D64" s="1"/>
      <c r="E64" s="1"/>
      <c r="F64" s="35">
        <f>SUM(F58:F63)</f>
        <v>2440.98460225285</v>
      </c>
    </row>
    <row r="66" spans="1:6" x14ac:dyDescent="0.2">
      <c r="A66" s="1" t="s">
        <v>222</v>
      </c>
    </row>
    <row r="67" spans="1:6" x14ac:dyDescent="0.2">
      <c r="A67" t="s">
        <v>197</v>
      </c>
      <c r="B67" t="s">
        <v>223</v>
      </c>
      <c r="C67" s="9">
        <v>1</v>
      </c>
      <c r="D67" s="25">
        <v>8.3000000000000007</v>
      </c>
      <c r="E67" s="31">
        <f>'MobileEquip Hrly'!E26</f>
        <v>182.53886586562501</v>
      </c>
      <c r="F67" s="27">
        <f>+D67*E67</f>
        <v>1515.0725866846878</v>
      </c>
    </row>
    <row r="68" spans="1:6" x14ac:dyDescent="0.2">
      <c r="B68" t="s">
        <v>198</v>
      </c>
      <c r="C68" s="9">
        <v>1</v>
      </c>
      <c r="D68" s="25"/>
      <c r="E68" s="9"/>
      <c r="F68" s="27">
        <f>C68*'1) YG Cost Inputs'!D19</f>
        <v>19.02</v>
      </c>
    </row>
    <row r="69" spans="1:6" x14ac:dyDescent="0.2">
      <c r="B69" t="s">
        <v>199</v>
      </c>
      <c r="C69" s="9">
        <v>1</v>
      </c>
      <c r="D69" s="25"/>
      <c r="E69" s="9"/>
      <c r="F69" s="27">
        <f>C69*'1) YG Cost Inputs'!D20</f>
        <v>78.52</v>
      </c>
    </row>
    <row r="70" spans="1:6" x14ac:dyDescent="0.2">
      <c r="A70" t="s">
        <v>200</v>
      </c>
      <c r="B70" t="s">
        <v>224</v>
      </c>
      <c r="C70" s="9">
        <v>1</v>
      </c>
      <c r="D70" s="25">
        <v>8.8000000000000007</v>
      </c>
      <c r="E70" s="34">
        <f>'1) YG Cost Inputs'!D32</f>
        <v>65.42</v>
      </c>
      <c r="F70" s="27">
        <f>+D70*E70</f>
        <v>575.69600000000003</v>
      </c>
    </row>
    <row r="71" spans="1:6" x14ac:dyDescent="0.2">
      <c r="B71" t="s">
        <v>217</v>
      </c>
      <c r="C71" s="9">
        <v>1</v>
      </c>
      <c r="D71" s="25">
        <v>2</v>
      </c>
      <c r="E71" s="31">
        <f>E70</f>
        <v>65.42</v>
      </c>
      <c r="F71" s="27">
        <f>+D71*E71</f>
        <v>130.84</v>
      </c>
    </row>
    <row r="72" spans="1:6" x14ac:dyDescent="0.2">
      <c r="A72" s="1" t="s">
        <v>225</v>
      </c>
      <c r="B72" s="1"/>
      <c r="C72" s="1"/>
      <c r="D72" s="1"/>
      <c r="E72" s="1"/>
      <c r="F72" s="35">
        <f>SUM(F67:F71)</f>
        <v>2319.1485866846879</v>
      </c>
    </row>
    <row r="74" spans="1:6" x14ac:dyDescent="0.2">
      <c r="A74" s="1" t="s">
        <v>226</v>
      </c>
    </row>
    <row r="75" spans="1:6" x14ac:dyDescent="0.2">
      <c r="A75" t="s">
        <v>197</v>
      </c>
      <c r="B75" t="s">
        <v>227</v>
      </c>
      <c r="C75" s="9">
        <v>1</v>
      </c>
      <c r="D75" s="25">
        <v>8.3000000000000007</v>
      </c>
      <c r="E75" s="31">
        <f>'MobileEquip Hrly'!D26</f>
        <v>117.81724382500001</v>
      </c>
      <c r="F75" s="27">
        <f>+D75*E75</f>
        <v>977.88312374750012</v>
      </c>
    </row>
    <row r="76" spans="1:6" x14ac:dyDescent="0.2">
      <c r="B76" t="s">
        <v>199</v>
      </c>
      <c r="C76" s="9">
        <v>1</v>
      </c>
      <c r="D76" s="25"/>
      <c r="E76" s="9"/>
      <c r="F76" s="27">
        <f>C76*'1) YG Cost Inputs'!D20</f>
        <v>78.52</v>
      </c>
    </row>
    <row r="77" spans="1:6" x14ac:dyDescent="0.2">
      <c r="A77" t="s">
        <v>200</v>
      </c>
      <c r="B77" t="s">
        <v>228</v>
      </c>
      <c r="C77" s="9">
        <v>1</v>
      </c>
      <c r="D77" s="25">
        <v>8.8000000000000007</v>
      </c>
      <c r="E77" s="34">
        <f>'1) YG Cost Inputs'!D32</f>
        <v>65.42</v>
      </c>
      <c r="F77" s="27">
        <f>+D77*E77</f>
        <v>575.69600000000003</v>
      </c>
    </row>
    <row r="78" spans="1:6" x14ac:dyDescent="0.2">
      <c r="B78" t="s">
        <v>217</v>
      </c>
      <c r="C78" s="9">
        <v>1</v>
      </c>
      <c r="D78" s="25">
        <v>2</v>
      </c>
      <c r="E78" s="31">
        <f>E77</f>
        <v>65.42</v>
      </c>
      <c r="F78" s="27">
        <f>+D78*E78</f>
        <v>130.84</v>
      </c>
    </row>
    <row r="79" spans="1:6" x14ac:dyDescent="0.2">
      <c r="A79" s="1" t="s">
        <v>229</v>
      </c>
      <c r="B79" s="1"/>
      <c r="C79" s="1"/>
      <c r="D79" s="1"/>
      <c r="E79" s="1"/>
      <c r="F79" s="35">
        <f>SUM(F75:F78)</f>
        <v>1762.9391237474999</v>
      </c>
    </row>
    <row r="81" spans="1:6" x14ac:dyDescent="0.2">
      <c r="A81" s="1" t="s">
        <v>230</v>
      </c>
    </row>
    <row r="82" spans="1:6" x14ac:dyDescent="0.2">
      <c r="A82" t="s">
        <v>197</v>
      </c>
      <c r="B82" t="s">
        <v>227</v>
      </c>
      <c r="C82" s="9">
        <v>1</v>
      </c>
      <c r="D82" s="25">
        <v>8.3000000000000007</v>
      </c>
      <c r="E82" s="31">
        <f>'MobileEquip Hrly'!D26</f>
        <v>117.81724382500001</v>
      </c>
      <c r="F82" s="27">
        <f>+D82*E82</f>
        <v>977.88312374750012</v>
      </c>
    </row>
    <row r="83" spans="1:6" x14ac:dyDescent="0.2">
      <c r="B83" t="s">
        <v>199</v>
      </c>
      <c r="C83" s="9">
        <v>1</v>
      </c>
      <c r="D83" s="25"/>
      <c r="E83" s="9"/>
      <c r="F83" s="27">
        <f>C83*'1) YG Cost Inputs'!D20</f>
        <v>78.52</v>
      </c>
    </row>
    <row r="84" spans="1:6" x14ac:dyDescent="0.2">
      <c r="A84" t="s">
        <v>200</v>
      </c>
      <c r="B84" t="s">
        <v>206</v>
      </c>
      <c r="C84" s="9">
        <v>1</v>
      </c>
      <c r="D84" s="25">
        <v>8.8000000000000007</v>
      </c>
      <c r="E84" s="34">
        <f>'1) YG Cost Inputs'!D31</f>
        <v>62.47</v>
      </c>
      <c r="F84" s="27">
        <f>+D84*E84</f>
        <v>549.73599999999999</v>
      </c>
    </row>
    <row r="85" spans="1:6" x14ac:dyDescent="0.2">
      <c r="B85" t="s">
        <v>217</v>
      </c>
      <c r="C85" s="9">
        <v>1</v>
      </c>
      <c r="D85" s="25">
        <v>2</v>
      </c>
      <c r="E85" s="31">
        <f>E84</f>
        <v>62.47</v>
      </c>
      <c r="F85" s="27">
        <f>+D85*E85</f>
        <v>124.94</v>
      </c>
    </row>
    <row r="86" spans="1:6" x14ac:dyDescent="0.2">
      <c r="A86" s="1" t="s">
        <v>231</v>
      </c>
      <c r="B86" s="1"/>
      <c r="C86" s="1"/>
      <c r="D86" s="1"/>
      <c r="E86" s="1"/>
      <c r="F86" s="35">
        <f>SUM(F82:F85)</f>
        <v>1731.0791237475</v>
      </c>
    </row>
    <row r="88" spans="1:6" x14ac:dyDescent="0.2">
      <c r="A88" s="1" t="s">
        <v>232</v>
      </c>
      <c r="C88" s="1"/>
      <c r="D88" s="1"/>
      <c r="E88" s="1"/>
      <c r="F88" s="1"/>
    </row>
    <row r="89" spans="1:6" x14ac:dyDescent="0.2">
      <c r="A89" t="s">
        <v>197</v>
      </c>
      <c r="B89" t="s">
        <v>145</v>
      </c>
      <c r="C89" s="9">
        <v>1</v>
      </c>
      <c r="D89" s="25">
        <v>8.3000000000000007</v>
      </c>
      <c r="E89" s="36">
        <f>'MobileEquip Hrly'!J26</f>
        <v>181.48384399999998</v>
      </c>
      <c r="F89" s="37">
        <f>+D89*E89</f>
        <v>1506.3159051999999</v>
      </c>
    </row>
    <row r="90" spans="1:6" x14ac:dyDescent="0.2">
      <c r="B90" t="s">
        <v>100</v>
      </c>
      <c r="C90" s="9">
        <v>1</v>
      </c>
      <c r="D90" s="25">
        <v>8.3000000000000007</v>
      </c>
      <c r="E90" s="36">
        <f>'MobileEquip Hrly'!D26</f>
        <v>117.81724382500001</v>
      </c>
      <c r="F90" s="37">
        <f>+D90*E90</f>
        <v>977.88312374750012</v>
      </c>
    </row>
    <row r="91" spans="1:6" x14ac:dyDescent="0.2">
      <c r="B91" t="s">
        <v>199</v>
      </c>
      <c r="C91" s="9">
        <v>1</v>
      </c>
      <c r="D91" s="25"/>
      <c r="E91" s="9"/>
      <c r="F91" s="37">
        <f>'1) YG Cost Inputs'!D20</f>
        <v>78.52</v>
      </c>
    </row>
    <row r="92" spans="1:6" x14ac:dyDescent="0.2">
      <c r="A92" t="s">
        <v>200</v>
      </c>
      <c r="B92" t="s">
        <v>206</v>
      </c>
      <c r="C92" s="9">
        <v>1</v>
      </c>
      <c r="D92" s="25">
        <f>8.8*C92</f>
        <v>8.8000000000000007</v>
      </c>
      <c r="E92" s="34">
        <f>'1) YG Cost Inputs'!D31</f>
        <v>62.47</v>
      </c>
      <c r="F92" s="37">
        <f>D92*E92</f>
        <v>549.73599999999999</v>
      </c>
    </row>
    <row r="93" spans="1:6" x14ac:dyDescent="0.2">
      <c r="B93" t="s">
        <v>202</v>
      </c>
      <c r="C93" s="9">
        <v>1</v>
      </c>
      <c r="D93" s="25">
        <v>2</v>
      </c>
      <c r="E93" s="36">
        <f>E92</f>
        <v>62.47</v>
      </c>
      <c r="F93" s="37">
        <f>+D93*E93</f>
        <v>124.94</v>
      </c>
    </row>
    <row r="94" spans="1:6" x14ac:dyDescent="0.2">
      <c r="A94" s="1" t="s">
        <v>233</v>
      </c>
      <c r="B94" s="1"/>
      <c r="C94" s="1"/>
      <c r="D94" s="1"/>
      <c r="E94" s="1"/>
      <c r="F94" s="35">
        <f>SUM(F89:F93)</f>
        <v>3237.3950289474997</v>
      </c>
    </row>
    <row r="95" spans="1:6" x14ac:dyDescent="0.2">
      <c r="C95" s="1"/>
      <c r="D95" s="1"/>
      <c r="E95" s="1"/>
      <c r="F95" s="1"/>
    </row>
  </sheetData>
  <printOptions gridLines="1"/>
  <pageMargins left="0.28749999999999998" right="0.28749999999999998" top="0.30277777777777798" bottom="0.55277777777777803" header="0.28749999999999998" footer="0.28749999999999998"/>
  <pageSetup paperSize="3" scale="99" firstPageNumber="0" orientation="portrait" horizontalDpi="300" verticalDpi="300" r:id="rId1"/>
  <headerFooter alignWithMargins="0">
    <oddHeader>&amp;C&amp;"Times New Roman,Regular"&amp;12&amp;A</oddHeader>
    <oddFooter>&amp;C&amp;"Times New Roman,Regular"&amp;12Page &amp;P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1:O25"/>
  <sheetViews>
    <sheetView workbookViewId="0">
      <selection activeCell="A22" sqref="A22"/>
    </sheetView>
  </sheetViews>
  <sheetFormatPr defaultColWidth="11.28515625" defaultRowHeight="12.75" x14ac:dyDescent="0.2"/>
  <sheetData>
    <row r="1" spans="1:15" x14ac:dyDescent="0.2">
      <c r="A1" s="69" t="s">
        <v>568</v>
      </c>
    </row>
    <row r="2" spans="1:15" x14ac:dyDescent="0.2">
      <c r="A2" t="s">
        <v>234</v>
      </c>
    </row>
    <row r="3" spans="1:15" x14ac:dyDescent="0.2">
      <c r="A3" t="s">
        <v>382</v>
      </c>
      <c r="E3" t="s">
        <v>383</v>
      </c>
      <c r="G3" t="s">
        <v>384</v>
      </c>
    </row>
    <row r="4" spans="1:15" x14ac:dyDescent="0.2">
      <c r="A4" t="s">
        <v>385</v>
      </c>
      <c r="E4" t="s">
        <v>386</v>
      </c>
      <c r="G4" t="s">
        <v>387</v>
      </c>
    </row>
    <row r="6" spans="1:15" x14ac:dyDescent="0.2">
      <c r="A6" t="s">
        <v>388</v>
      </c>
    </row>
    <row r="9" spans="1:15" x14ac:dyDescent="0.2">
      <c r="A9" t="s">
        <v>389</v>
      </c>
    </row>
    <row r="10" spans="1:15" x14ac:dyDescent="0.2">
      <c r="A10" t="s">
        <v>390</v>
      </c>
    </row>
    <row r="11" spans="1:15" x14ac:dyDescent="0.2">
      <c r="A11" t="s">
        <v>391</v>
      </c>
      <c r="E11" s="146">
        <f>196*8.88</f>
        <v>1740.4800000000002</v>
      </c>
      <c r="F11" t="s">
        <v>392</v>
      </c>
      <c r="N11" s="147"/>
      <c r="O11" s="148"/>
    </row>
    <row r="12" spans="1:15" x14ac:dyDescent="0.2">
      <c r="A12" t="s">
        <v>393</v>
      </c>
      <c r="E12" s="146">
        <f>E11*0.94</f>
        <v>1636.0512000000001</v>
      </c>
      <c r="F12" t="s">
        <v>394</v>
      </c>
      <c r="O12" s="148"/>
    </row>
    <row r="13" spans="1:15" x14ac:dyDescent="0.2">
      <c r="A13" t="s">
        <v>395</v>
      </c>
      <c r="E13" s="69" t="s">
        <v>396</v>
      </c>
      <c r="O13" s="148"/>
    </row>
    <row r="16" spans="1:15" x14ac:dyDescent="0.2">
      <c r="A16" t="s">
        <v>397</v>
      </c>
    </row>
    <row r="17" spans="1:6" x14ac:dyDescent="0.2">
      <c r="A17" t="s">
        <v>398</v>
      </c>
    </row>
    <row r="18" spans="1:6" x14ac:dyDescent="0.2">
      <c r="A18" t="s">
        <v>399</v>
      </c>
      <c r="E18" s="146">
        <f>96*9.1</f>
        <v>873.59999999999991</v>
      </c>
      <c r="F18" t="s">
        <v>392</v>
      </c>
    </row>
    <row r="19" spans="1:6" x14ac:dyDescent="0.2">
      <c r="A19" t="s">
        <v>400</v>
      </c>
      <c r="E19" s="146">
        <f>E18*0.94</f>
        <v>821.18399999999986</v>
      </c>
      <c r="F19" t="s">
        <v>394</v>
      </c>
    </row>
    <row r="20" spans="1:6" x14ac:dyDescent="0.2">
      <c r="A20" t="s">
        <v>401</v>
      </c>
      <c r="E20" s="69" t="s">
        <v>402</v>
      </c>
    </row>
    <row r="23" spans="1:6" x14ac:dyDescent="0.2">
      <c r="C23" s="147"/>
      <c r="D23" s="148"/>
    </row>
    <row r="24" spans="1:6" x14ac:dyDescent="0.2">
      <c r="D24" s="148"/>
    </row>
    <row r="25" spans="1:6" x14ac:dyDescent="0.2">
      <c r="D25" s="148"/>
    </row>
  </sheetData>
  <printOptions gridLines="1"/>
  <pageMargins left="0.28749999999999998" right="0.28749999999999998" top="0.30277777777777798" bottom="0.55277777777777803" header="0.28749999999999998" footer="0.28749999999999998"/>
  <pageSetup paperSize="3" firstPageNumber="0" orientation="landscape" horizontalDpi="300" verticalDpi="300" r:id="rId1"/>
  <headerFooter alignWithMargins="0">
    <oddHeader>&amp;C&amp;"Times New Roman,Regular"&amp;12&amp;A</oddHeader>
    <oddFooter>&amp;C&amp;"Times New Roman,Regular"&amp;12Page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C43"/>
  <sheetViews>
    <sheetView topLeftCell="A13" zoomScale="110" zoomScaleNormal="110" workbookViewId="0">
      <selection activeCell="V16" sqref="V16"/>
    </sheetView>
  </sheetViews>
  <sheetFormatPr defaultColWidth="8.7109375" defaultRowHeight="15" x14ac:dyDescent="0.25"/>
  <cols>
    <col min="1" max="1" width="38" style="132" customWidth="1"/>
    <col min="2" max="9" width="8.7109375" style="132"/>
    <col min="10" max="12" width="10.7109375" style="132" customWidth="1"/>
    <col min="13" max="14" width="8.7109375" style="132" customWidth="1"/>
    <col min="15" max="15" width="48.28515625" style="132" customWidth="1"/>
    <col min="16" max="17" width="8.7109375" style="132"/>
    <col min="18" max="18" width="9" style="132" bestFit="1" customWidth="1"/>
    <col min="19" max="19" width="10.28515625" style="132" bestFit="1" customWidth="1"/>
    <col min="20" max="21" width="8.7109375" style="132"/>
    <col min="22" max="22" width="10" style="132" bestFit="1" customWidth="1"/>
    <col min="23" max="23" width="8.7109375" style="132"/>
    <col min="24" max="26" width="10.7109375" style="132" customWidth="1"/>
    <col min="27" max="29" width="8.7109375" style="132" customWidth="1"/>
    <col min="30" max="30" width="8.7109375" style="132"/>
    <col min="31" max="31" width="8.7109375" style="132" customWidth="1"/>
    <col min="32" max="16384" width="8.7109375" style="132"/>
  </cols>
  <sheetData>
    <row r="1" spans="1:29" x14ac:dyDescent="0.25">
      <c r="A1" s="131" t="s">
        <v>489</v>
      </c>
      <c r="B1" s="110"/>
      <c r="C1" s="110"/>
      <c r="D1" s="110"/>
      <c r="E1" s="110"/>
      <c r="F1" s="110"/>
      <c r="G1" s="110"/>
      <c r="H1" s="110"/>
      <c r="I1" s="110"/>
      <c r="J1" s="110"/>
      <c r="K1" s="110"/>
      <c r="L1" s="110"/>
      <c r="M1" s="110"/>
      <c r="N1" s="110"/>
      <c r="O1" s="110"/>
      <c r="P1" s="110"/>
      <c r="Q1" s="110"/>
      <c r="AA1" s="133"/>
    </row>
    <row r="2" spans="1:29" x14ac:dyDescent="0.25">
      <c r="A2" s="134" t="s">
        <v>256</v>
      </c>
      <c r="B2" s="110"/>
      <c r="C2" s="110"/>
      <c r="D2" s="110"/>
      <c r="E2" s="110"/>
      <c r="F2" s="110"/>
      <c r="G2" s="110"/>
      <c r="H2" s="110"/>
      <c r="I2" s="110"/>
      <c r="J2" s="110"/>
      <c r="K2" s="110"/>
      <c r="L2" s="110"/>
      <c r="M2" s="110"/>
      <c r="N2" s="110"/>
      <c r="O2" s="110"/>
      <c r="P2" s="110"/>
      <c r="Q2" s="110"/>
      <c r="R2" s="110"/>
    </row>
    <row r="3" spans="1:29" x14ac:dyDescent="0.25">
      <c r="A3" s="134" t="s">
        <v>522</v>
      </c>
      <c r="B3" s="110"/>
      <c r="C3" s="110"/>
      <c r="D3" s="110"/>
      <c r="E3" s="110"/>
      <c r="F3" s="110"/>
      <c r="G3" s="110"/>
      <c r="H3" s="110"/>
      <c r="I3" s="110"/>
      <c r="K3" s="110"/>
      <c r="L3" s="110"/>
      <c r="O3" s="110"/>
      <c r="P3" s="110"/>
      <c r="Q3" s="110"/>
      <c r="R3" s="110"/>
    </row>
    <row r="4" spans="1:29" x14ac:dyDescent="0.25">
      <c r="A4" s="110"/>
      <c r="B4" s="110"/>
      <c r="C4" s="110"/>
      <c r="D4" s="110"/>
      <c r="E4" s="110"/>
      <c r="F4" s="110"/>
      <c r="G4" s="110"/>
      <c r="H4" s="110"/>
      <c r="I4" s="110"/>
      <c r="J4" s="110"/>
      <c r="K4" s="110"/>
      <c r="L4" s="110"/>
      <c r="M4" s="110"/>
      <c r="N4" s="110"/>
      <c r="O4" s="110"/>
      <c r="P4" s="110"/>
      <c r="Q4" s="110"/>
      <c r="R4" s="110"/>
    </row>
    <row r="5" spans="1:29" x14ac:dyDescent="0.25">
      <c r="A5" s="110"/>
      <c r="B5" s="110"/>
      <c r="C5" s="110"/>
      <c r="D5" s="110"/>
      <c r="E5" s="110"/>
      <c r="F5" s="110"/>
      <c r="G5" s="110"/>
      <c r="H5" s="110"/>
      <c r="I5" s="110"/>
      <c r="J5" s="110"/>
      <c r="K5" s="110"/>
      <c r="L5" s="110"/>
      <c r="M5" s="110"/>
      <c r="N5" s="110"/>
      <c r="O5" s="110"/>
      <c r="P5" s="110"/>
      <c r="Q5" s="110"/>
      <c r="R5" s="110"/>
    </row>
    <row r="6" spans="1:29" ht="51.75" x14ac:dyDescent="0.25">
      <c r="A6" s="77" t="s">
        <v>286</v>
      </c>
      <c r="B6" s="75" t="s">
        <v>282</v>
      </c>
      <c r="C6" s="75" t="s">
        <v>238</v>
      </c>
      <c r="D6" s="75" t="s">
        <v>237</v>
      </c>
      <c r="E6" s="76" t="s">
        <v>239</v>
      </c>
      <c r="F6" s="71"/>
      <c r="H6" s="71"/>
      <c r="I6" s="71"/>
      <c r="J6" s="71"/>
      <c r="K6" s="111"/>
      <c r="L6" s="72"/>
      <c r="M6" s="72"/>
      <c r="N6" s="72"/>
      <c r="Q6" s="111"/>
    </row>
    <row r="7" spans="1:29" x14ac:dyDescent="0.25">
      <c r="A7" s="135" t="s">
        <v>279</v>
      </c>
      <c r="B7" s="136">
        <f>ConvEquipMobe!B7</f>
        <v>0</v>
      </c>
      <c r="C7" s="137">
        <f>ConvEquipMobe!C7</f>
        <v>0</v>
      </c>
      <c r="D7" s="136">
        <f>ConvEquipMobe!D7</f>
        <v>0</v>
      </c>
      <c r="E7" s="136">
        <f>ConvEquipMobe!E7</f>
        <v>0</v>
      </c>
      <c r="F7" s="123"/>
      <c r="H7" s="110"/>
      <c r="I7" s="123"/>
      <c r="J7" s="138"/>
      <c r="K7" s="110"/>
      <c r="L7" s="111"/>
      <c r="M7" s="44"/>
      <c r="N7" s="110"/>
      <c r="Q7" s="110"/>
      <c r="R7" s="110"/>
    </row>
    <row r="8" spans="1:29" x14ac:dyDescent="0.25">
      <c r="A8" s="135" t="s">
        <v>280</v>
      </c>
      <c r="B8" s="136">
        <f>ConvEquipMobe!B8</f>
        <v>0</v>
      </c>
      <c r="C8" s="137">
        <f>ConvEquipMobe!C8</f>
        <v>0</v>
      </c>
      <c r="D8" s="136">
        <f>ConvEquipMobe!D8</f>
        <v>0</v>
      </c>
      <c r="E8" s="136">
        <f>ConvEquipMobe!E8</f>
        <v>0</v>
      </c>
      <c r="F8" s="123"/>
      <c r="H8" s="110"/>
      <c r="I8" s="123"/>
      <c r="J8" s="138"/>
      <c r="K8" s="110"/>
      <c r="L8" s="111"/>
      <c r="M8" s="44"/>
      <c r="N8" s="110"/>
      <c r="Q8" s="110"/>
      <c r="R8" s="110"/>
    </row>
    <row r="9" spans="1:29" x14ac:dyDescent="0.25">
      <c r="A9" s="135" t="s">
        <v>281</v>
      </c>
      <c r="B9" s="136">
        <f>ConvEquipMobe!B9</f>
        <v>0</v>
      </c>
      <c r="C9" s="137">
        <f>ConvEquipMobe!C9</f>
        <v>0</v>
      </c>
      <c r="D9" s="136">
        <f>ConvEquipMobe!D9</f>
        <v>0</v>
      </c>
      <c r="E9" s="136">
        <f>ConvEquipMobe!E9</f>
        <v>0</v>
      </c>
      <c r="F9" s="123"/>
      <c r="H9" s="110"/>
      <c r="I9" s="123"/>
      <c r="J9" s="138"/>
      <c r="K9" s="110"/>
      <c r="L9" s="111"/>
      <c r="M9" s="44"/>
      <c r="N9" s="110"/>
      <c r="Q9" s="110"/>
      <c r="R9" s="110"/>
    </row>
    <row r="10" spans="1:29" x14ac:dyDescent="0.25">
      <c r="B10" s="110"/>
      <c r="C10" s="110"/>
      <c r="D10" s="139"/>
      <c r="E10" s="110"/>
      <c r="F10" s="123"/>
      <c r="G10" s="140"/>
      <c r="H10" s="110"/>
      <c r="I10" s="123"/>
      <c r="J10" s="138"/>
      <c r="K10" s="110"/>
      <c r="L10" s="111"/>
      <c r="M10" s="44"/>
      <c r="N10" s="110"/>
      <c r="O10" s="140"/>
      <c r="P10" s="139"/>
      <c r="Q10" s="110"/>
      <c r="R10" s="110"/>
    </row>
    <row r="11" spans="1:29" x14ac:dyDescent="0.25">
      <c r="A11" s="479" t="s">
        <v>235</v>
      </c>
      <c r="B11" s="479"/>
      <c r="C11" s="479"/>
      <c r="D11" s="479"/>
      <c r="E11" s="479"/>
      <c r="F11" s="479"/>
      <c r="G11" s="479"/>
      <c r="H11" s="479"/>
      <c r="I11" s="479"/>
      <c r="J11" s="479"/>
      <c r="K11" s="479"/>
      <c r="L11" s="479"/>
      <c r="M11" s="118"/>
      <c r="N11" s="118"/>
      <c r="O11" s="479" t="s">
        <v>236</v>
      </c>
      <c r="P11" s="479"/>
      <c r="Q11" s="479"/>
      <c r="R11" s="479"/>
      <c r="S11" s="479"/>
      <c r="T11" s="479"/>
      <c r="U11" s="479"/>
      <c r="V11" s="479"/>
      <c r="W11" s="479"/>
      <c r="X11" s="479"/>
      <c r="Y11" s="479"/>
      <c r="Z11" s="479"/>
      <c r="AA11" s="118"/>
      <c r="AB11" s="118"/>
      <c r="AC11" s="141"/>
    </row>
    <row r="12" spans="1:29" ht="61.5" customHeight="1" x14ac:dyDescent="0.25">
      <c r="A12" s="480" t="s">
        <v>526</v>
      </c>
      <c r="B12" s="480"/>
      <c r="C12" s="480"/>
      <c r="D12" s="480"/>
      <c r="E12" s="480"/>
      <c r="F12" s="480"/>
      <c r="G12" s="480"/>
      <c r="H12" s="480"/>
      <c r="I12" s="480"/>
      <c r="J12" s="480"/>
      <c r="K12" s="480"/>
      <c r="L12" s="480"/>
      <c r="M12" s="385"/>
      <c r="N12" s="385"/>
      <c r="O12" s="481" t="s">
        <v>527</v>
      </c>
      <c r="P12" s="481"/>
      <c r="Q12" s="481"/>
      <c r="R12" s="481"/>
      <c r="S12" s="481"/>
      <c r="T12" s="481"/>
      <c r="U12" s="481"/>
      <c r="V12" s="481"/>
      <c r="W12" s="481"/>
      <c r="X12" s="481"/>
      <c r="Y12" s="481"/>
      <c r="Z12" s="481"/>
      <c r="AA12" s="386"/>
      <c r="AB12" s="386"/>
      <c r="AC12" s="74"/>
    </row>
    <row r="13" spans="1:29" x14ac:dyDescent="0.25">
      <c r="A13" s="43"/>
      <c r="B13" s="387"/>
      <c r="C13" s="388"/>
      <c r="D13" s="388"/>
      <c r="E13" s="389"/>
      <c r="F13" s="388"/>
      <c r="G13" s="390"/>
      <c r="H13" s="391"/>
      <c r="I13" s="388"/>
      <c r="J13" s="390"/>
      <c r="K13" s="392"/>
      <c r="L13" s="388"/>
      <c r="M13" s="387"/>
      <c r="N13" s="393"/>
      <c r="O13" s="388"/>
      <c r="P13" s="388"/>
      <c r="Q13" s="389"/>
      <c r="R13" s="388"/>
      <c r="S13" s="388"/>
      <c r="T13" s="43"/>
      <c r="U13" s="43"/>
      <c r="V13" s="43"/>
      <c r="W13" s="43"/>
      <c r="X13" s="43"/>
      <c r="Y13" s="43"/>
      <c r="Z13" s="43"/>
      <c r="AA13" s="43"/>
      <c r="AB13" s="43"/>
    </row>
    <row r="14" spans="1:29" ht="30" x14ac:dyDescent="0.25">
      <c r="A14" s="394" t="s">
        <v>283</v>
      </c>
      <c r="B14" s="395" t="s">
        <v>288</v>
      </c>
      <c r="C14" s="396" t="s">
        <v>289</v>
      </c>
      <c r="D14" s="395" t="s">
        <v>290</v>
      </c>
      <c r="E14" s="396" t="s">
        <v>291</v>
      </c>
      <c r="F14" s="395" t="s">
        <v>292</v>
      </c>
      <c r="G14" s="396" t="s">
        <v>293</v>
      </c>
      <c r="H14" s="397" t="s">
        <v>240</v>
      </c>
      <c r="I14" s="398" t="s">
        <v>4</v>
      </c>
      <c r="J14" s="399" t="s">
        <v>294</v>
      </c>
      <c r="K14" s="399" t="s">
        <v>295</v>
      </c>
      <c r="L14" s="399" t="s">
        <v>296</v>
      </c>
      <c r="M14" s="392"/>
      <c r="N14" s="387"/>
      <c r="O14" s="387" t="s">
        <v>367</v>
      </c>
      <c r="P14" s="395" t="s">
        <v>288</v>
      </c>
      <c r="Q14" s="396" t="s">
        <v>289</v>
      </c>
      <c r="R14" s="395" t="s">
        <v>290</v>
      </c>
      <c r="S14" s="396" t="s">
        <v>291</v>
      </c>
      <c r="T14" s="395" t="s">
        <v>292</v>
      </c>
      <c r="U14" s="396" t="s">
        <v>293</v>
      </c>
      <c r="V14" s="400" t="s">
        <v>240</v>
      </c>
      <c r="W14" s="400" t="s">
        <v>4</v>
      </c>
      <c r="X14" s="399" t="s">
        <v>294</v>
      </c>
      <c r="Y14" s="399" t="s">
        <v>295</v>
      </c>
      <c r="Z14" s="399" t="s">
        <v>296</v>
      </c>
      <c r="AA14" s="392"/>
      <c r="AB14" s="43"/>
    </row>
    <row r="15" spans="1:29" x14ac:dyDescent="0.25">
      <c r="A15" s="401" t="s">
        <v>257</v>
      </c>
      <c r="B15" s="402">
        <f>IF(C7=0,0,1)</f>
        <v>0</v>
      </c>
      <c r="C15" s="403">
        <f>(D7/15+1)*(B17+B18+B19)</f>
        <v>0</v>
      </c>
      <c r="D15" s="402">
        <f>IF(C8=0,0,1)</f>
        <v>0</v>
      </c>
      <c r="E15" s="403">
        <f>(D8/15+1)*(D17+D18+D19)</f>
        <v>0</v>
      </c>
      <c r="F15" s="402">
        <f>IF(C9=0,0,1)</f>
        <v>0</v>
      </c>
      <c r="G15" s="403">
        <f>(D9/15+1)*(F17+F18+F19)</f>
        <v>0</v>
      </c>
      <c r="H15" s="404">
        <v>93.95</v>
      </c>
      <c r="I15" s="404" t="s">
        <v>241</v>
      </c>
      <c r="J15" s="405">
        <f t="shared" ref="J15:J23" si="0">IF(B15*C15*H15=0,B15*H15,B15*C15*H15)</f>
        <v>0</v>
      </c>
      <c r="K15" s="405">
        <f>IF(D15*E15*H15=0,D15*H15,D15*E15*H15)</f>
        <v>0</v>
      </c>
      <c r="L15" s="405">
        <f>IF(F15*G15*H15=0,F15*H15,F15*G15*H15)</f>
        <v>0</v>
      </c>
      <c r="M15" s="392"/>
      <c r="N15" s="387"/>
      <c r="O15" s="406" t="s">
        <v>242</v>
      </c>
      <c r="P15" s="402">
        <f>IF(C7&lt;3,2,3)</f>
        <v>2</v>
      </c>
      <c r="Q15" s="403">
        <f>E7/7.44+4.19+3.42</f>
        <v>7.61</v>
      </c>
      <c r="R15" s="402">
        <f>IF(C8&lt;3,2,3)</f>
        <v>2</v>
      </c>
      <c r="S15" s="403">
        <f>E8/7.44+4.19+3.42</f>
        <v>7.61</v>
      </c>
      <c r="T15" s="402">
        <f>IF(C9&lt;3,2,3)</f>
        <v>2</v>
      </c>
      <c r="U15" s="403">
        <f>E9/7.44+4.19+3.42</f>
        <v>7.61</v>
      </c>
      <c r="V15" s="463">
        <v>637</v>
      </c>
      <c r="W15" s="404" t="s">
        <v>241</v>
      </c>
      <c r="X15" s="405">
        <f>IF($B$7="Yes",IF(P15*Q15*V15=0,P15*V15,P15*Q15*V15),0)</f>
        <v>0</v>
      </c>
      <c r="Y15" s="405">
        <f>IF($B$8="Yes",IF(R15*S15*V15=0,R15*V15,R15*S15*V15),0)</f>
        <v>0</v>
      </c>
      <c r="Z15" s="405">
        <f>IF($B$9="Yes",IF(T15*U15*V15=0,T15*V15,T15*U15*V15),0)</f>
        <v>0</v>
      </c>
      <c r="AA15" s="392"/>
      <c r="AB15" s="43"/>
    </row>
    <row r="16" spans="1:29" x14ac:dyDescent="0.25">
      <c r="A16" s="407" t="s">
        <v>258</v>
      </c>
      <c r="B16" s="402">
        <f>IF(C7=0,0,1)</f>
        <v>0</v>
      </c>
      <c r="C16" s="403">
        <f>C15</f>
        <v>0</v>
      </c>
      <c r="D16" s="402">
        <f>IF(C8=0,0,1)</f>
        <v>0</v>
      </c>
      <c r="E16" s="403">
        <f>E15</f>
        <v>0</v>
      </c>
      <c r="F16" s="402">
        <f>IF(C9=0,0,1)</f>
        <v>0</v>
      </c>
      <c r="G16" s="403">
        <f>G15</f>
        <v>0</v>
      </c>
      <c r="H16" s="463">
        <v>37.479999999999997</v>
      </c>
      <c r="I16" s="404" t="s">
        <v>241</v>
      </c>
      <c r="J16" s="405">
        <f t="shared" si="0"/>
        <v>0</v>
      </c>
      <c r="K16" s="405">
        <f t="shared" ref="K16:K23" si="1">IF(D16*E16*H16=0,D16*H16,D16*E16*H16)</f>
        <v>0</v>
      </c>
      <c r="L16" s="405">
        <f t="shared" ref="L16:L23" si="2">IF(F16*G16*H16=0,F16*H16,F16*G16*H16)</f>
        <v>0</v>
      </c>
      <c r="M16" s="392"/>
      <c r="N16" s="387"/>
      <c r="O16" s="406" t="s">
        <v>259</v>
      </c>
      <c r="P16" s="402">
        <v>1</v>
      </c>
      <c r="Q16" s="408">
        <f>4.19*2</f>
        <v>8.3800000000000008</v>
      </c>
      <c r="R16" s="402">
        <v>1</v>
      </c>
      <c r="S16" s="408">
        <f>4.19*2</f>
        <v>8.3800000000000008</v>
      </c>
      <c r="T16" s="402">
        <v>1</v>
      </c>
      <c r="U16" s="408">
        <f>4.19*2</f>
        <v>8.3800000000000008</v>
      </c>
      <c r="V16" s="404">
        <f>H15</f>
        <v>93.95</v>
      </c>
      <c r="W16" s="404" t="s">
        <v>241</v>
      </c>
      <c r="X16" s="405">
        <f t="shared" ref="X16:X33" si="3">IF($B$7="Yes",IF(P16*Q16*V16=0,P16*V16,P16*Q16*V16),0)</f>
        <v>0</v>
      </c>
      <c r="Y16" s="405">
        <f t="shared" ref="Y16:Y33" si="4">IF($B$8="Yes",IF(R16*S16*V16=0,R16*V16,R16*S16*V16),0)</f>
        <v>0</v>
      </c>
      <c r="Z16" s="405">
        <f t="shared" ref="Z16:Z33" si="5">IF($B$9="Yes",IF(T16*U16*V16=0,T16*V16,T16*U16*V16),0)</f>
        <v>0</v>
      </c>
      <c r="AA16" s="387"/>
      <c r="AB16" s="43"/>
    </row>
    <row r="17" spans="1:28" x14ac:dyDescent="0.25">
      <c r="A17" s="407" t="s">
        <v>260</v>
      </c>
      <c r="B17" s="402">
        <f>C7</f>
        <v>0</v>
      </c>
      <c r="C17" s="403">
        <v>1</v>
      </c>
      <c r="D17" s="409">
        <f>C8</f>
        <v>0</v>
      </c>
      <c r="E17" s="403">
        <v>1</v>
      </c>
      <c r="F17" s="409">
        <f>C9</f>
        <v>0</v>
      </c>
      <c r="G17" s="403">
        <v>1</v>
      </c>
      <c r="H17" s="404">
        <v>95.15</v>
      </c>
      <c r="I17" s="404" t="s">
        <v>241</v>
      </c>
      <c r="J17" s="405">
        <f t="shared" si="0"/>
        <v>0</v>
      </c>
      <c r="K17" s="405">
        <f t="shared" si="1"/>
        <v>0</v>
      </c>
      <c r="L17" s="405">
        <f t="shared" si="2"/>
        <v>0</v>
      </c>
      <c r="M17" s="387"/>
      <c r="N17" s="387"/>
      <c r="O17" s="393" t="s">
        <v>243</v>
      </c>
      <c r="P17" s="402">
        <v>1</v>
      </c>
      <c r="Q17" s="408">
        <f>Q16</f>
        <v>8.3800000000000008</v>
      </c>
      <c r="R17" s="402">
        <v>1</v>
      </c>
      <c r="S17" s="408">
        <f>S16</f>
        <v>8.3800000000000008</v>
      </c>
      <c r="T17" s="402">
        <v>1</v>
      </c>
      <c r="U17" s="408">
        <f>U16</f>
        <v>8.3800000000000008</v>
      </c>
      <c r="V17" s="463">
        <f>H16</f>
        <v>37.479999999999997</v>
      </c>
      <c r="W17" s="404" t="s">
        <v>241</v>
      </c>
      <c r="X17" s="405">
        <f t="shared" si="3"/>
        <v>0</v>
      </c>
      <c r="Y17" s="405">
        <f t="shared" si="4"/>
        <v>0</v>
      </c>
      <c r="Z17" s="405">
        <f t="shared" si="5"/>
        <v>0</v>
      </c>
      <c r="AA17" s="387"/>
      <c r="AB17" s="43"/>
    </row>
    <row r="18" spans="1:28" x14ac:dyDescent="0.25">
      <c r="A18" s="407" t="s">
        <v>261</v>
      </c>
      <c r="B18" s="402">
        <f>C7</f>
        <v>0</v>
      </c>
      <c r="C18" s="403">
        <v>1</v>
      </c>
      <c r="D18" s="409">
        <f>C8</f>
        <v>0</v>
      </c>
      <c r="E18" s="403">
        <v>1</v>
      </c>
      <c r="F18" s="409">
        <f>C9</f>
        <v>0</v>
      </c>
      <c r="G18" s="403">
        <v>1</v>
      </c>
      <c r="H18" s="404">
        <v>95.15</v>
      </c>
      <c r="I18" s="404" t="s">
        <v>241</v>
      </c>
      <c r="J18" s="405">
        <f t="shared" si="0"/>
        <v>0</v>
      </c>
      <c r="K18" s="405">
        <f t="shared" si="1"/>
        <v>0</v>
      </c>
      <c r="L18" s="405">
        <f t="shared" si="2"/>
        <v>0</v>
      </c>
      <c r="M18" s="387"/>
      <c r="N18" s="387"/>
      <c r="O18" s="387" t="s">
        <v>260</v>
      </c>
      <c r="P18" s="409">
        <f>C7</f>
        <v>0</v>
      </c>
      <c r="Q18" s="408">
        <v>1</v>
      </c>
      <c r="R18" s="409">
        <f>C8</f>
        <v>0</v>
      </c>
      <c r="S18" s="408">
        <v>1</v>
      </c>
      <c r="T18" s="409">
        <f>C9</f>
        <v>0</v>
      </c>
      <c r="U18" s="408">
        <v>1</v>
      </c>
      <c r="V18" s="404">
        <f>H17</f>
        <v>95.15</v>
      </c>
      <c r="W18" s="404" t="s">
        <v>241</v>
      </c>
      <c r="X18" s="405">
        <f t="shared" si="3"/>
        <v>0</v>
      </c>
      <c r="Y18" s="405">
        <f t="shared" si="4"/>
        <v>0</v>
      </c>
      <c r="Z18" s="405">
        <f t="shared" si="5"/>
        <v>0</v>
      </c>
      <c r="AA18" s="387"/>
      <c r="AB18" s="43"/>
    </row>
    <row r="19" spans="1:28" x14ac:dyDescent="0.25">
      <c r="A19" s="407" t="s">
        <v>262</v>
      </c>
      <c r="B19" s="402">
        <f>IF(C7=0,0,1)</f>
        <v>0</v>
      </c>
      <c r="C19" s="403">
        <v>1</v>
      </c>
      <c r="D19" s="402">
        <f>IF(C8=0,0,1)</f>
        <v>0</v>
      </c>
      <c r="E19" s="403">
        <v>1</v>
      </c>
      <c r="F19" s="402">
        <f>IF(C9=0,0,1)</f>
        <v>0</v>
      </c>
      <c r="G19" s="403">
        <v>1</v>
      </c>
      <c r="H19" s="404">
        <v>106.99</v>
      </c>
      <c r="I19" s="404" t="s">
        <v>241</v>
      </c>
      <c r="J19" s="405">
        <f t="shared" si="0"/>
        <v>0</v>
      </c>
      <c r="K19" s="405">
        <f t="shared" si="1"/>
        <v>0</v>
      </c>
      <c r="L19" s="405">
        <f t="shared" si="2"/>
        <v>0</v>
      </c>
      <c r="M19" s="387"/>
      <c r="N19" s="387"/>
      <c r="O19" s="387" t="s">
        <v>261</v>
      </c>
      <c r="P19" s="409">
        <f>C7-1</f>
        <v>-1</v>
      </c>
      <c r="Q19" s="408">
        <v>1</v>
      </c>
      <c r="R19" s="409">
        <f>C8-1</f>
        <v>-1</v>
      </c>
      <c r="S19" s="408">
        <v>1</v>
      </c>
      <c r="T19" s="409">
        <f>C9-1</f>
        <v>-1</v>
      </c>
      <c r="U19" s="408">
        <v>1</v>
      </c>
      <c r="V19" s="404">
        <f>H18</f>
        <v>95.15</v>
      </c>
      <c r="W19" s="404" t="s">
        <v>241</v>
      </c>
      <c r="X19" s="405">
        <f t="shared" si="3"/>
        <v>0</v>
      </c>
      <c r="Y19" s="405">
        <f t="shared" si="4"/>
        <v>0</v>
      </c>
      <c r="Z19" s="405">
        <f t="shared" si="5"/>
        <v>0</v>
      </c>
      <c r="AA19" s="387"/>
      <c r="AB19" s="43"/>
    </row>
    <row r="20" spans="1:28" x14ac:dyDescent="0.25">
      <c r="A20" s="407" t="s">
        <v>263</v>
      </c>
      <c r="B20" s="402">
        <f>IF(C7=0,0,1)</f>
        <v>0</v>
      </c>
      <c r="C20" s="403">
        <f>D7/10</f>
        <v>0</v>
      </c>
      <c r="D20" s="402">
        <f>IF(C8=0,0,1)</f>
        <v>0</v>
      </c>
      <c r="E20" s="403">
        <f>D8/10</f>
        <v>0</v>
      </c>
      <c r="F20" s="402">
        <f>IF(C9=0,0,1)</f>
        <v>0</v>
      </c>
      <c r="G20" s="403">
        <f>D9/10</f>
        <v>0</v>
      </c>
      <c r="H20" s="404">
        <v>101.47</v>
      </c>
      <c r="I20" s="404" t="s">
        <v>241</v>
      </c>
      <c r="J20" s="405">
        <f t="shared" si="0"/>
        <v>0</v>
      </c>
      <c r="K20" s="405">
        <f t="shared" si="1"/>
        <v>0</v>
      </c>
      <c r="L20" s="405">
        <f t="shared" si="2"/>
        <v>0</v>
      </c>
      <c r="M20" s="387"/>
      <c r="N20" s="387"/>
      <c r="O20" s="387" t="s">
        <v>264</v>
      </c>
      <c r="P20" s="409">
        <v>1</v>
      </c>
      <c r="Q20" s="408">
        <f>4.19*2</f>
        <v>8.3800000000000008</v>
      </c>
      <c r="R20" s="409">
        <v>1</v>
      </c>
      <c r="S20" s="408">
        <f>4.19*2</f>
        <v>8.3800000000000008</v>
      </c>
      <c r="T20" s="409">
        <v>1</v>
      </c>
      <c r="U20" s="408">
        <f>4.19*2</f>
        <v>8.3800000000000008</v>
      </c>
      <c r="V20" s="404">
        <f>V19</f>
        <v>95.15</v>
      </c>
      <c r="W20" s="404" t="s">
        <v>241</v>
      </c>
      <c r="X20" s="405">
        <f t="shared" si="3"/>
        <v>0</v>
      </c>
      <c r="Y20" s="405">
        <f t="shared" si="4"/>
        <v>0</v>
      </c>
      <c r="Z20" s="405">
        <f t="shared" si="5"/>
        <v>0</v>
      </c>
      <c r="AA20" s="387"/>
      <c r="AB20" s="43"/>
    </row>
    <row r="21" spans="1:28" x14ac:dyDescent="0.25">
      <c r="A21" s="407" t="s">
        <v>244</v>
      </c>
      <c r="B21" s="402">
        <f>IF(C7=0,0,1)</f>
        <v>0</v>
      </c>
      <c r="C21" s="403">
        <f>C20</f>
        <v>0</v>
      </c>
      <c r="D21" s="402">
        <f>IF(C8=0,0,1)</f>
        <v>0</v>
      </c>
      <c r="E21" s="403">
        <f>E20</f>
        <v>0</v>
      </c>
      <c r="F21" s="402">
        <f>IF(C9=0,0,1)</f>
        <v>0</v>
      </c>
      <c r="G21" s="403">
        <f>G20</f>
        <v>0</v>
      </c>
      <c r="H21" s="463">
        <v>36.57</v>
      </c>
      <c r="I21" s="404" t="s">
        <v>241</v>
      </c>
      <c r="J21" s="405">
        <f t="shared" si="0"/>
        <v>0</v>
      </c>
      <c r="K21" s="405">
        <f t="shared" si="1"/>
        <v>0</v>
      </c>
      <c r="L21" s="405">
        <f t="shared" si="2"/>
        <v>0</v>
      </c>
      <c r="M21" s="387"/>
      <c r="N21" s="387"/>
      <c r="O21" s="410" t="s">
        <v>265</v>
      </c>
      <c r="P21" s="402">
        <v>1</v>
      </c>
      <c r="Q21" s="408">
        <f>Q20</f>
        <v>8.3800000000000008</v>
      </c>
      <c r="R21" s="402">
        <v>1</v>
      </c>
      <c r="S21" s="408">
        <f>S20</f>
        <v>8.3800000000000008</v>
      </c>
      <c r="T21" s="402">
        <v>1</v>
      </c>
      <c r="U21" s="408">
        <f>U20</f>
        <v>8.3800000000000008</v>
      </c>
      <c r="V21" s="463">
        <v>38.22</v>
      </c>
      <c r="W21" s="404" t="s">
        <v>241</v>
      </c>
      <c r="X21" s="405">
        <f t="shared" si="3"/>
        <v>0</v>
      </c>
      <c r="Y21" s="405">
        <f t="shared" si="4"/>
        <v>0</v>
      </c>
      <c r="Z21" s="405">
        <f t="shared" si="5"/>
        <v>0</v>
      </c>
      <c r="AA21" s="387"/>
      <c r="AB21" s="43"/>
    </row>
    <row r="22" spans="1:28" x14ac:dyDescent="0.25">
      <c r="A22" s="407" t="s">
        <v>266</v>
      </c>
      <c r="B22" s="409">
        <f>C7</f>
        <v>0</v>
      </c>
      <c r="C22" s="403">
        <f>C15</f>
        <v>0</v>
      </c>
      <c r="D22" s="409">
        <f>C8</f>
        <v>0</v>
      </c>
      <c r="E22" s="403">
        <f>E15</f>
        <v>0</v>
      </c>
      <c r="F22" s="409">
        <f>C9</f>
        <v>0</v>
      </c>
      <c r="G22" s="403">
        <f>G15</f>
        <v>0</v>
      </c>
      <c r="H22" s="404">
        <v>31.46</v>
      </c>
      <c r="I22" s="404" t="s">
        <v>241</v>
      </c>
      <c r="J22" s="405">
        <f t="shared" si="0"/>
        <v>0</v>
      </c>
      <c r="K22" s="405">
        <f t="shared" si="1"/>
        <v>0</v>
      </c>
      <c r="L22" s="405">
        <f t="shared" si="2"/>
        <v>0</v>
      </c>
      <c r="M22" s="387"/>
      <c r="N22" s="387"/>
      <c r="O22" s="393" t="s">
        <v>262</v>
      </c>
      <c r="P22" s="402">
        <v>1</v>
      </c>
      <c r="Q22" s="411">
        <v>1</v>
      </c>
      <c r="R22" s="402">
        <v>1</v>
      </c>
      <c r="S22" s="411">
        <v>1</v>
      </c>
      <c r="T22" s="402">
        <v>1</v>
      </c>
      <c r="U22" s="411">
        <v>1</v>
      </c>
      <c r="V22" s="404">
        <f>H19</f>
        <v>106.99</v>
      </c>
      <c r="W22" s="404" t="s">
        <v>241</v>
      </c>
      <c r="X22" s="405">
        <f t="shared" si="3"/>
        <v>0</v>
      </c>
      <c r="Y22" s="405">
        <f t="shared" si="4"/>
        <v>0</v>
      </c>
      <c r="Z22" s="405">
        <f t="shared" si="5"/>
        <v>0</v>
      </c>
      <c r="AA22" s="387"/>
      <c r="AB22" s="43"/>
    </row>
    <row r="23" spans="1:28" x14ac:dyDescent="0.25">
      <c r="A23" s="412" t="s">
        <v>267</v>
      </c>
      <c r="B23" s="397">
        <f>IF(C7=0,0,2)</f>
        <v>0</v>
      </c>
      <c r="C23" s="413">
        <f>C15</f>
        <v>0</v>
      </c>
      <c r="D23" s="397">
        <f>IF(C8=0,0,2)</f>
        <v>0</v>
      </c>
      <c r="E23" s="413">
        <f>E15</f>
        <v>0</v>
      </c>
      <c r="F23" s="397">
        <f>IF(C9=0,0,2)</f>
        <v>0</v>
      </c>
      <c r="G23" s="413">
        <f>G15</f>
        <v>0</v>
      </c>
      <c r="H23" s="463">
        <v>32.9</v>
      </c>
      <c r="I23" s="404" t="s">
        <v>241</v>
      </c>
      <c r="J23" s="414">
        <f t="shared" si="0"/>
        <v>0</v>
      </c>
      <c r="K23" s="414">
        <f t="shared" si="1"/>
        <v>0</v>
      </c>
      <c r="L23" s="414">
        <f t="shared" si="2"/>
        <v>0</v>
      </c>
      <c r="M23" s="387"/>
      <c r="N23" s="387"/>
      <c r="O23" s="410" t="s">
        <v>268</v>
      </c>
      <c r="P23" s="402">
        <v>1</v>
      </c>
      <c r="Q23" s="408">
        <v>1</v>
      </c>
      <c r="R23" s="402">
        <v>1</v>
      </c>
      <c r="S23" s="408">
        <v>1</v>
      </c>
      <c r="T23" s="402">
        <v>1</v>
      </c>
      <c r="U23" s="408">
        <v>1</v>
      </c>
      <c r="V23" s="404">
        <v>136.06</v>
      </c>
      <c r="W23" s="404" t="s">
        <v>241</v>
      </c>
      <c r="X23" s="405">
        <f t="shared" si="3"/>
        <v>0</v>
      </c>
      <c r="Y23" s="405">
        <f t="shared" si="4"/>
        <v>0</v>
      </c>
      <c r="Z23" s="405">
        <f t="shared" si="5"/>
        <v>0</v>
      </c>
      <c r="AA23" s="387"/>
      <c r="AB23" s="43"/>
    </row>
    <row r="24" spans="1:28" x14ac:dyDescent="0.25">
      <c r="A24" s="387"/>
      <c r="B24" s="387"/>
      <c r="C24" s="387"/>
      <c r="D24" s="387"/>
      <c r="E24" s="387"/>
      <c r="F24" s="387"/>
      <c r="G24" s="387"/>
      <c r="H24" s="388"/>
      <c r="I24" s="415" t="s">
        <v>245</v>
      </c>
      <c r="J24" s="416">
        <f>SUM(J15:J23)</f>
        <v>0</v>
      </c>
      <c r="K24" s="416">
        <f>SUM(K15:K23)</f>
        <v>0</v>
      </c>
      <c r="L24" s="416">
        <f>SUM(L15:L23)</f>
        <v>0</v>
      </c>
      <c r="M24" s="417"/>
      <c r="N24" s="387"/>
      <c r="O24" s="418" t="s">
        <v>263</v>
      </c>
      <c r="P24" s="402">
        <v>1</v>
      </c>
      <c r="Q24" s="408">
        <v>1</v>
      </c>
      <c r="R24" s="402">
        <v>1</v>
      </c>
      <c r="S24" s="408">
        <v>1</v>
      </c>
      <c r="T24" s="402">
        <v>1</v>
      </c>
      <c r="U24" s="408">
        <v>1</v>
      </c>
      <c r="V24" s="404">
        <f>H20</f>
        <v>101.47</v>
      </c>
      <c r="W24" s="404" t="s">
        <v>241</v>
      </c>
      <c r="X24" s="405">
        <f t="shared" si="3"/>
        <v>0</v>
      </c>
      <c r="Y24" s="405">
        <f t="shared" si="4"/>
        <v>0</v>
      </c>
      <c r="Z24" s="405">
        <f t="shared" si="5"/>
        <v>0</v>
      </c>
      <c r="AA24" s="387"/>
      <c r="AB24" s="43"/>
    </row>
    <row r="25" spans="1:28" x14ac:dyDescent="0.25">
      <c r="A25" s="388"/>
      <c r="B25" s="388"/>
      <c r="C25" s="388"/>
      <c r="D25" s="388"/>
      <c r="E25" s="388"/>
      <c r="F25" s="388"/>
      <c r="G25" s="388"/>
      <c r="H25" s="388"/>
      <c r="I25" s="388"/>
      <c r="J25" s="388"/>
      <c r="K25" s="388"/>
      <c r="L25" s="388"/>
      <c r="M25" s="387"/>
      <c r="N25" s="387"/>
      <c r="O25" s="393" t="s">
        <v>269</v>
      </c>
      <c r="P25" s="402">
        <v>1</v>
      </c>
      <c r="Q25" s="408">
        <f>4.19*2</f>
        <v>8.3800000000000008</v>
      </c>
      <c r="R25" s="402">
        <v>1</v>
      </c>
      <c r="S25" s="408">
        <f>4.19*2</f>
        <v>8.3800000000000008</v>
      </c>
      <c r="T25" s="402">
        <v>1</v>
      </c>
      <c r="U25" s="408">
        <f>4.19*2</f>
        <v>8.3800000000000008</v>
      </c>
      <c r="V25" s="404">
        <v>40.43</v>
      </c>
      <c r="W25" s="404" t="s">
        <v>241</v>
      </c>
      <c r="X25" s="405">
        <f t="shared" si="3"/>
        <v>0</v>
      </c>
      <c r="Y25" s="405">
        <f t="shared" si="4"/>
        <v>0</v>
      </c>
      <c r="Z25" s="405">
        <f t="shared" si="5"/>
        <v>0</v>
      </c>
      <c r="AA25" s="387"/>
      <c r="AB25" s="43"/>
    </row>
    <row r="26" spans="1:28" x14ac:dyDescent="0.25">
      <c r="A26" s="388"/>
      <c r="B26" s="388"/>
      <c r="C26" s="388"/>
      <c r="D26" s="388"/>
      <c r="E26" s="388"/>
      <c r="F26" s="388"/>
      <c r="G26" s="388"/>
      <c r="H26" s="388"/>
      <c r="I26" s="388"/>
      <c r="J26" s="388"/>
      <c r="K26" s="388"/>
      <c r="L26" s="388"/>
      <c r="M26" s="387"/>
      <c r="N26" s="387"/>
      <c r="O26" s="393" t="s">
        <v>270</v>
      </c>
      <c r="P26" s="402">
        <v>1</v>
      </c>
      <c r="Q26" s="408">
        <f>Q25</f>
        <v>8.3800000000000008</v>
      </c>
      <c r="R26" s="402">
        <v>1</v>
      </c>
      <c r="S26" s="408">
        <f>S25</f>
        <v>8.3800000000000008</v>
      </c>
      <c r="T26" s="402">
        <v>1</v>
      </c>
      <c r="U26" s="408">
        <f>U25</f>
        <v>8.3800000000000008</v>
      </c>
      <c r="V26" s="464">
        <v>32.9</v>
      </c>
      <c r="W26" s="404" t="s">
        <v>241</v>
      </c>
      <c r="X26" s="405">
        <f t="shared" si="3"/>
        <v>0</v>
      </c>
      <c r="Y26" s="405">
        <f t="shared" si="4"/>
        <v>0</v>
      </c>
      <c r="Z26" s="405">
        <f t="shared" si="5"/>
        <v>0</v>
      </c>
      <c r="AA26" s="387"/>
      <c r="AB26" s="43"/>
    </row>
    <row r="27" spans="1:28" ht="30" x14ac:dyDescent="0.25">
      <c r="A27" s="394" t="s">
        <v>284</v>
      </c>
      <c r="B27" s="395" t="s">
        <v>288</v>
      </c>
      <c r="C27" s="396" t="s">
        <v>289</v>
      </c>
      <c r="D27" s="395" t="s">
        <v>290</v>
      </c>
      <c r="E27" s="396" t="s">
        <v>291</v>
      </c>
      <c r="F27" s="395" t="s">
        <v>292</v>
      </c>
      <c r="G27" s="396" t="s">
        <v>293</v>
      </c>
      <c r="H27" s="400" t="s">
        <v>240</v>
      </c>
      <c r="I27" s="400" t="s">
        <v>4</v>
      </c>
      <c r="J27" s="399" t="s">
        <v>294</v>
      </c>
      <c r="K27" s="399" t="s">
        <v>295</v>
      </c>
      <c r="L27" s="399" t="s">
        <v>296</v>
      </c>
      <c r="M27" s="387"/>
      <c r="N27" s="387"/>
      <c r="O27" s="393" t="s">
        <v>271</v>
      </c>
      <c r="P27" s="402">
        <v>1</v>
      </c>
      <c r="Q27" s="419">
        <f>D7*0.5/20+1</f>
        <v>1</v>
      </c>
      <c r="R27" s="402">
        <v>1</v>
      </c>
      <c r="S27" s="419">
        <f>D8*0.5/20+1</f>
        <v>1</v>
      </c>
      <c r="T27" s="402">
        <v>1</v>
      </c>
      <c r="U27" s="419">
        <f>D9*0.5/20+1</f>
        <v>1</v>
      </c>
      <c r="V27" s="404">
        <v>40.43</v>
      </c>
      <c r="W27" s="404" t="s">
        <v>241</v>
      </c>
      <c r="X27" s="405">
        <f t="shared" si="3"/>
        <v>0</v>
      </c>
      <c r="Y27" s="405">
        <f t="shared" si="4"/>
        <v>0</v>
      </c>
      <c r="Z27" s="405">
        <f t="shared" si="5"/>
        <v>0</v>
      </c>
      <c r="AA27" s="387"/>
      <c r="AB27" s="43"/>
    </row>
    <row r="28" spans="1:28" x14ac:dyDescent="0.25">
      <c r="A28" s="407" t="s">
        <v>260</v>
      </c>
      <c r="B28" s="420">
        <f>C7</f>
        <v>0</v>
      </c>
      <c r="C28" s="403">
        <f>D7/3</f>
        <v>0</v>
      </c>
      <c r="D28" s="409">
        <f>C8</f>
        <v>0</v>
      </c>
      <c r="E28" s="403">
        <f>D8/3</f>
        <v>0</v>
      </c>
      <c r="F28" s="409">
        <f>C9</f>
        <v>0</v>
      </c>
      <c r="G28" s="403">
        <f>D9/3</f>
        <v>0</v>
      </c>
      <c r="H28" s="404">
        <f t="shared" ref="H28:H34" si="6">H17</f>
        <v>95.15</v>
      </c>
      <c r="I28" s="404" t="s">
        <v>241</v>
      </c>
      <c r="J28" s="405">
        <f t="shared" ref="J28:J34" si="7">IF(B28*C28*H28=0,B28*H28,B28*C28*H28)</f>
        <v>0</v>
      </c>
      <c r="K28" s="405">
        <f>IF(D28*E28*H28=0,D28*H28,D28*E28*H28)</f>
        <v>0</v>
      </c>
      <c r="L28" s="405">
        <f>IF(F28*G28*H28=0,F28*H28,F28*G28*H28)</f>
        <v>0</v>
      </c>
      <c r="M28" s="387"/>
      <c r="N28" s="387"/>
      <c r="O28" s="393" t="s">
        <v>272</v>
      </c>
      <c r="P28" s="402">
        <v>1</v>
      </c>
      <c r="Q28" s="419">
        <f>D7*0.5/20+1</f>
        <v>1</v>
      </c>
      <c r="R28" s="402">
        <v>1</v>
      </c>
      <c r="S28" s="419">
        <f>D8*0.5/20+1</f>
        <v>1</v>
      </c>
      <c r="T28" s="402">
        <v>1</v>
      </c>
      <c r="U28" s="419">
        <f>D9*0.5/20+1</f>
        <v>1</v>
      </c>
      <c r="V28" s="404">
        <f>V27</f>
        <v>40.43</v>
      </c>
      <c r="W28" s="404" t="s">
        <v>241</v>
      </c>
      <c r="X28" s="405">
        <f t="shared" si="3"/>
        <v>0</v>
      </c>
      <c r="Y28" s="405">
        <f t="shared" si="4"/>
        <v>0</v>
      </c>
      <c r="Z28" s="405">
        <f t="shared" si="5"/>
        <v>0</v>
      </c>
      <c r="AA28" s="387"/>
      <c r="AB28" s="43"/>
    </row>
    <row r="29" spans="1:28" x14ac:dyDescent="0.25">
      <c r="A29" s="407" t="s">
        <v>261</v>
      </c>
      <c r="B29" s="409">
        <f>C7</f>
        <v>0</v>
      </c>
      <c r="C29" s="403">
        <f>C28</f>
        <v>0</v>
      </c>
      <c r="D29" s="409">
        <f>C8</f>
        <v>0</v>
      </c>
      <c r="E29" s="403">
        <f>E28</f>
        <v>0</v>
      </c>
      <c r="F29" s="409">
        <f>C9</f>
        <v>0</v>
      </c>
      <c r="G29" s="403">
        <f>G28</f>
        <v>0</v>
      </c>
      <c r="H29" s="404">
        <f t="shared" si="6"/>
        <v>95.15</v>
      </c>
      <c r="I29" s="404" t="s">
        <v>241</v>
      </c>
      <c r="J29" s="405">
        <f t="shared" si="7"/>
        <v>0</v>
      </c>
      <c r="K29" s="405">
        <f t="shared" ref="K29:K34" si="8">IF(D29*E29*H29=0,D29*H29,D29*E29*H29)</f>
        <v>0</v>
      </c>
      <c r="L29" s="405">
        <f t="shared" ref="L29:L34" si="9">IF(F29*G29*H29=0,F29*H29,F29*G29*H29)</f>
        <v>0</v>
      </c>
      <c r="M29" s="387"/>
      <c r="N29" s="387"/>
      <c r="O29" s="393" t="s">
        <v>273</v>
      </c>
      <c r="P29" s="402">
        <v>1</v>
      </c>
      <c r="Q29" s="419">
        <f>D7*0.5/20+1</f>
        <v>1</v>
      </c>
      <c r="R29" s="402">
        <v>1</v>
      </c>
      <c r="S29" s="419">
        <f>D8*0.5/20+1</f>
        <v>1</v>
      </c>
      <c r="T29" s="402">
        <v>1</v>
      </c>
      <c r="U29" s="419">
        <f>D9*0.5/20+1</f>
        <v>1</v>
      </c>
      <c r="V29" s="404">
        <f>V27</f>
        <v>40.43</v>
      </c>
      <c r="W29" s="404" t="s">
        <v>241</v>
      </c>
      <c r="X29" s="405">
        <f t="shared" si="3"/>
        <v>0</v>
      </c>
      <c r="Y29" s="405">
        <f t="shared" si="4"/>
        <v>0</v>
      </c>
      <c r="Z29" s="405">
        <f t="shared" si="5"/>
        <v>0</v>
      </c>
      <c r="AA29" s="387"/>
      <c r="AB29" s="43"/>
    </row>
    <row r="30" spans="1:28" x14ac:dyDescent="0.25">
      <c r="A30" s="407" t="s">
        <v>262</v>
      </c>
      <c r="B30" s="402">
        <f>IF(C7=0,0,1)</f>
        <v>0</v>
      </c>
      <c r="C30" s="403">
        <f>C28</f>
        <v>0</v>
      </c>
      <c r="D30" s="402">
        <f>IF(C8=0,0,1)</f>
        <v>0</v>
      </c>
      <c r="E30" s="403">
        <f>E28</f>
        <v>0</v>
      </c>
      <c r="F30" s="402">
        <f>IF(C9=0,0,1)</f>
        <v>0</v>
      </c>
      <c r="G30" s="403">
        <f>G28</f>
        <v>0</v>
      </c>
      <c r="H30" s="404">
        <f t="shared" si="6"/>
        <v>106.99</v>
      </c>
      <c r="I30" s="404" t="s">
        <v>241</v>
      </c>
      <c r="J30" s="405">
        <f t="shared" si="7"/>
        <v>0</v>
      </c>
      <c r="K30" s="405">
        <f t="shared" si="8"/>
        <v>0</v>
      </c>
      <c r="L30" s="405">
        <f t="shared" si="9"/>
        <v>0</v>
      </c>
      <c r="M30" s="387"/>
      <c r="N30" s="387"/>
      <c r="O30" s="406" t="s">
        <v>274</v>
      </c>
      <c r="P30" s="402">
        <v>1</v>
      </c>
      <c r="Q30" s="419">
        <f>D7*0.5/20+1</f>
        <v>1</v>
      </c>
      <c r="R30" s="402">
        <v>1</v>
      </c>
      <c r="S30" s="419">
        <f>D8*0.5/20+1</f>
        <v>1</v>
      </c>
      <c r="T30" s="402">
        <v>1</v>
      </c>
      <c r="U30" s="419">
        <f>D9*0.5/20+1</f>
        <v>1</v>
      </c>
      <c r="V30" s="404">
        <v>30.38</v>
      </c>
      <c r="W30" s="404" t="s">
        <v>241</v>
      </c>
      <c r="X30" s="405">
        <f t="shared" si="3"/>
        <v>0</v>
      </c>
      <c r="Y30" s="405">
        <f t="shared" si="4"/>
        <v>0</v>
      </c>
      <c r="Z30" s="405">
        <f t="shared" si="5"/>
        <v>0</v>
      </c>
      <c r="AA30" s="387"/>
      <c r="AB30" s="43"/>
    </row>
    <row r="31" spans="1:28" x14ac:dyDescent="0.25">
      <c r="A31" s="407" t="s">
        <v>263</v>
      </c>
      <c r="B31" s="402">
        <f>IF(C7=0,0,1)</f>
        <v>0</v>
      </c>
      <c r="C31" s="403">
        <f>D7*0.5/10</f>
        <v>0</v>
      </c>
      <c r="D31" s="402">
        <f>IF(C8=0,0,1)</f>
        <v>0</v>
      </c>
      <c r="E31" s="403">
        <f>D8*0.5/10</f>
        <v>0</v>
      </c>
      <c r="F31" s="402">
        <f>IF(C9=0,0,1)</f>
        <v>0</v>
      </c>
      <c r="G31" s="403">
        <f>D9*0.5/10</f>
        <v>0</v>
      </c>
      <c r="H31" s="404">
        <f t="shared" si="6"/>
        <v>101.47</v>
      </c>
      <c r="I31" s="404" t="s">
        <v>241</v>
      </c>
      <c r="J31" s="405">
        <f t="shared" si="7"/>
        <v>0</v>
      </c>
      <c r="K31" s="405">
        <f t="shared" si="8"/>
        <v>0</v>
      </c>
      <c r="L31" s="405">
        <f t="shared" si="9"/>
        <v>0</v>
      </c>
      <c r="M31" s="387"/>
      <c r="N31" s="387"/>
      <c r="O31" s="393" t="s">
        <v>483</v>
      </c>
      <c r="P31" s="409">
        <f>C7</f>
        <v>0</v>
      </c>
      <c r="Q31" s="419">
        <f>Q27+Q28+Q29+Q30</f>
        <v>4</v>
      </c>
      <c r="R31" s="409">
        <f>C8</f>
        <v>0</v>
      </c>
      <c r="S31" s="419">
        <f>S27+S28+S29+S30</f>
        <v>4</v>
      </c>
      <c r="T31" s="409">
        <f>C9</f>
        <v>0</v>
      </c>
      <c r="U31" s="419">
        <f>U27+U28+U29+U30</f>
        <v>4</v>
      </c>
      <c r="V31" s="404">
        <f>H22</f>
        <v>31.46</v>
      </c>
      <c r="W31" s="404" t="s">
        <v>241</v>
      </c>
      <c r="X31" s="405">
        <f t="shared" si="3"/>
        <v>0</v>
      </c>
      <c r="Y31" s="405">
        <f t="shared" si="4"/>
        <v>0</v>
      </c>
      <c r="Z31" s="405">
        <f t="shared" si="5"/>
        <v>0</v>
      </c>
      <c r="AA31" s="387"/>
      <c r="AB31" s="43"/>
    </row>
    <row r="32" spans="1:28" x14ac:dyDescent="0.25">
      <c r="A32" s="407" t="s">
        <v>244</v>
      </c>
      <c r="B32" s="402">
        <f>IF(C7=0,0,1)</f>
        <v>0</v>
      </c>
      <c r="C32" s="403">
        <f>C31</f>
        <v>0</v>
      </c>
      <c r="D32" s="402">
        <f>IF(C8=0,0,1)</f>
        <v>0</v>
      </c>
      <c r="E32" s="403">
        <f>E31</f>
        <v>0</v>
      </c>
      <c r="F32" s="402">
        <f>IF(C9=0,0,1)</f>
        <v>0</v>
      </c>
      <c r="G32" s="403">
        <f>G31</f>
        <v>0</v>
      </c>
      <c r="H32" s="463">
        <f t="shared" si="6"/>
        <v>36.57</v>
      </c>
      <c r="I32" s="404" t="s">
        <v>241</v>
      </c>
      <c r="J32" s="405">
        <f t="shared" si="7"/>
        <v>0</v>
      </c>
      <c r="K32" s="405">
        <f t="shared" si="8"/>
        <v>0</v>
      </c>
      <c r="L32" s="405">
        <f t="shared" si="9"/>
        <v>0</v>
      </c>
      <c r="M32" s="387"/>
      <c r="N32" s="387"/>
      <c r="O32" s="393" t="s">
        <v>482</v>
      </c>
      <c r="P32" s="402">
        <v>4</v>
      </c>
      <c r="Q32" s="390">
        <f>Q16</f>
        <v>8.3800000000000008</v>
      </c>
      <c r="R32" s="402">
        <v>4</v>
      </c>
      <c r="S32" s="408">
        <f>S16</f>
        <v>8.3800000000000008</v>
      </c>
      <c r="T32" s="390">
        <v>4</v>
      </c>
      <c r="U32" s="408">
        <f>U16</f>
        <v>8.3800000000000008</v>
      </c>
      <c r="V32" s="463">
        <f>H23</f>
        <v>32.9</v>
      </c>
      <c r="W32" s="404" t="s">
        <v>241</v>
      </c>
      <c r="X32" s="405">
        <f t="shared" si="3"/>
        <v>0</v>
      </c>
      <c r="Y32" s="405">
        <f t="shared" si="4"/>
        <v>0</v>
      </c>
      <c r="Z32" s="405">
        <f t="shared" si="5"/>
        <v>0</v>
      </c>
      <c r="AA32" s="387"/>
      <c r="AB32" s="43"/>
    </row>
    <row r="33" spans="1:28" x14ac:dyDescent="0.25">
      <c r="A33" s="407" t="s">
        <v>484</v>
      </c>
      <c r="B33" s="409">
        <f>C7</f>
        <v>0</v>
      </c>
      <c r="C33" s="403">
        <f>C28+C29+C31+C30</f>
        <v>0</v>
      </c>
      <c r="D33" s="409">
        <f>C8</f>
        <v>0</v>
      </c>
      <c r="E33" s="403">
        <f>E28+E29+E31+E30</f>
        <v>0</v>
      </c>
      <c r="F33" s="409">
        <f>C9</f>
        <v>0</v>
      </c>
      <c r="G33" s="403">
        <f>G28+G29+G31+G30</f>
        <v>0</v>
      </c>
      <c r="H33" s="404">
        <f t="shared" si="6"/>
        <v>31.46</v>
      </c>
      <c r="I33" s="404" t="s">
        <v>241</v>
      </c>
      <c r="J33" s="405">
        <f t="shared" si="7"/>
        <v>0</v>
      </c>
      <c r="K33" s="405">
        <f t="shared" si="8"/>
        <v>0</v>
      </c>
      <c r="L33" s="405">
        <f t="shared" si="9"/>
        <v>0</v>
      </c>
      <c r="M33" s="387"/>
      <c r="N33" s="387"/>
      <c r="O33" s="393" t="s">
        <v>520</v>
      </c>
      <c r="P33" s="397">
        <v>1</v>
      </c>
      <c r="Q33" s="400">
        <v>2</v>
      </c>
      <c r="R33" s="397">
        <v>1</v>
      </c>
      <c r="S33" s="398">
        <v>2</v>
      </c>
      <c r="T33" s="400">
        <v>1</v>
      </c>
      <c r="U33" s="398">
        <v>2</v>
      </c>
      <c r="V33" s="471">
        <v>1173</v>
      </c>
      <c r="W33" s="472" t="s">
        <v>241</v>
      </c>
      <c r="X33" s="414">
        <f t="shared" si="3"/>
        <v>0</v>
      </c>
      <c r="Y33" s="414">
        <f t="shared" si="4"/>
        <v>0</v>
      </c>
      <c r="Z33" s="414">
        <f t="shared" si="5"/>
        <v>0</v>
      </c>
      <c r="AA33" s="387"/>
      <c r="AB33" s="43"/>
    </row>
    <row r="34" spans="1:28" x14ac:dyDescent="0.25">
      <c r="A34" s="412" t="s">
        <v>485</v>
      </c>
      <c r="B34" s="397">
        <f>IF(C7=0,0,2)</f>
        <v>0</v>
      </c>
      <c r="C34" s="413">
        <f>C33</f>
        <v>0</v>
      </c>
      <c r="D34" s="397">
        <f>IF(C8=0,0,2)</f>
        <v>0</v>
      </c>
      <c r="E34" s="413">
        <f>E33</f>
        <v>0</v>
      </c>
      <c r="F34" s="397">
        <f>IF(C9=0,0,2)</f>
        <v>0</v>
      </c>
      <c r="G34" s="413">
        <f>G33</f>
        <v>0</v>
      </c>
      <c r="H34" s="463">
        <f t="shared" si="6"/>
        <v>32.9</v>
      </c>
      <c r="I34" s="404" t="s">
        <v>241</v>
      </c>
      <c r="J34" s="414">
        <f t="shared" si="7"/>
        <v>0</v>
      </c>
      <c r="K34" s="414">
        <f t="shared" si="8"/>
        <v>0</v>
      </c>
      <c r="L34" s="414">
        <f t="shared" si="9"/>
        <v>0</v>
      </c>
      <c r="M34" s="387"/>
      <c r="N34" s="387"/>
      <c r="O34" s="387"/>
      <c r="P34" s="387"/>
      <c r="Q34" s="387" t="s">
        <v>4</v>
      </c>
      <c r="R34" s="387"/>
      <c r="S34" s="387" t="s">
        <v>4</v>
      </c>
      <c r="T34" s="387"/>
      <c r="U34" s="387"/>
      <c r="V34" s="390" t="s">
        <v>521</v>
      </c>
      <c r="W34" s="387"/>
      <c r="X34" s="405">
        <f>SUM(X15:X33)</f>
        <v>0</v>
      </c>
      <c r="Y34" s="405">
        <f>SUM(Y15:Y33)</f>
        <v>0</v>
      </c>
      <c r="Z34" s="405">
        <f>SUM(Z15:Z33)</f>
        <v>0</v>
      </c>
      <c r="AA34" s="421" t="s">
        <v>368</v>
      </c>
      <c r="AB34" s="43"/>
    </row>
    <row r="35" spans="1:28" ht="15.75" thickBot="1" x14ac:dyDescent="0.3">
      <c r="A35" s="387"/>
      <c r="B35" s="387"/>
      <c r="C35" s="387"/>
      <c r="D35" s="387"/>
      <c r="E35" s="387"/>
      <c r="F35" s="387"/>
      <c r="G35" s="387"/>
      <c r="H35" s="388"/>
      <c r="I35" s="415" t="s">
        <v>287</v>
      </c>
      <c r="J35" s="416">
        <f>SUM(J28:J34)</f>
        <v>0</v>
      </c>
      <c r="K35" s="416">
        <f>SUM(K28:K34)</f>
        <v>0</v>
      </c>
      <c r="L35" s="416">
        <f>SUM(L28:L34)</f>
        <v>0</v>
      </c>
      <c r="M35" s="387"/>
      <c r="N35" s="387"/>
      <c r="O35" s="387"/>
      <c r="P35" s="387"/>
      <c r="Q35" s="387"/>
      <c r="R35" s="387"/>
      <c r="S35" s="387"/>
      <c r="T35" s="387"/>
      <c r="U35" s="387"/>
      <c r="V35" s="390"/>
      <c r="W35" s="422" t="s">
        <v>246</v>
      </c>
      <c r="X35" s="405">
        <f>IF(B7="No",0,J39)</f>
        <v>0</v>
      </c>
      <c r="Y35" s="405">
        <f>IF(B8="No",0,K39)</f>
        <v>0</v>
      </c>
      <c r="Z35" s="405">
        <f>IF(B9="No",0,L39)</f>
        <v>0</v>
      </c>
      <c r="AA35" s="421" t="s">
        <v>369</v>
      </c>
      <c r="AB35" s="43"/>
    </row>
    <row r="36" spans="1:28" ht="15.75" thickBot="1" x14ac:dyDescent="0.3">
      <c r="A36" s="388"/>
      <c r="B36" s="388"/>
      <c r="C36" s="388"/>
      <c r="D36" s="388"/>
      <c r="E36" s="388"/>
      <c r="F36" s="388"/>
      <c r="G36" s="388"/>
      <c r="H36" s="388"/>
      <c r="I36" s="388"/>
      <c r="J36" s="388"/>
      <c r="K36" s="388"/>
      <c r="L36" s="388"/>
      <c r="M36" s="392"/>
      <c r="N36" s="387"/>
      <c r="O36" s="43"/>
      <c r="P36" s="43"/>
      <c r="Q36" s="43"/>
      <c r="R36" s="43"/>
      <c r="S36" s="43"/>
      <c r="T36" s="43"/>
      <c r="U36" s="387"/>
      <c r="V36" s="390"/>
      <c r="W36" s="423" t="s">
        <v>247</v>
      </c>
      <c r="X36" s="424">
        <f>X34+X35</f>
        <v>0</v>
      </c>
      <c r="Y36" s="424">
        <f>Y34+Y35</f>
        <v>0</v>
      </c>
      <c r="Z36" s="424">
        <f>Z34+Z35</f>
        <v>0</v>
      </c>
      <c r="AA36" s="417"/>
      <c r="AB36" s="43"/>
    </row>
    <row r="37" spans="1:28" x14ac:dyDescent="0.25">
      <c r="A37" s="388"/>
      <c r="B37" s="388"/>
      <c r="C37" s="388"/>
      <c r="D37" s="388"/>
      <c r="E37" s="388"/>
      <c r="F37" s="388"/>
      <c r="G37" s="388"/>
      <c r="H37" s="388"/>
      <c r="I37" s="423" t="s">
        <v>285</v>
      </c>
      <c r="J37" s="425" t="str">
        <f>IF(J24&lt;J35,"Estimate 1","Estimate 2")</f>
        <v>Estimate 2</v>
      </c>
      <c r="K37" s="425" t="str">
        <f>IF(K24&lt;K35,"Estimate 1","Estimate 2")</f>
        <v>Estimate 2</v>
      </c>
      <c r="L37" s="425" t="str">
        <f>IF(L24&lt;L35,"Estimate 1","Estimate 2")</f>
        <v>Estimate 2</v>
      </c>
      <c r="M37" s="392"/>
      <c r="N37" s="387"/>
      <c r="O37" s="43"/>
      <c r="P37" s="43"/>
      <c r="Q37" s="43"/>
      <c r="R37" s="43"/>
      <c r="S37" s="43"/>
      <c r="T37" s="43"/>
      <c r="U37" s="388"/>
      <c r="V37" s="43"/>
      <c r="W37" s="43"/>
      <c r="X37" s="43"/>
      <c r="Y37" s="43"/>
      <c r="Z37" s="43"/>
      <c r="AA37" s="43"/>
      <c r="AB37" s="43"/>
    </row>
    <row r="38" spans="1:28" ht="15.75" thickBot="1" x14ac:dyDescent="0.3">
      <c r="A38" s="388"/>
      <c r="B38" s="388"/>
      <c r="C38" s="388"/>
      <c r="D38" s="388"/>
      <c r="E38" s="388"/>
      <c r="F38" s="388"/>
      <c r="G38" s="43"/>
      <c r="H38" s="43"/>
      <c r="I38" s="43"/>
      <c r="J38" s="43"/>
      <c r="K38" s="43"/>
      <c r="L38" s="43"/>
      <c r="M38" s="387"/>
      <c r="N38" s="387"/>
      <c r="O38" s="43"/>
      <c r="P38" s="43"/>
      <c r="Q38" s="43"/>
      <c r="R38" s="43"/>
      <c r="S38" s="43"/>
      <c r="T38" s="43"/>
      <c r="U38" s="388"/>
      <c r="V38" s="43"/>
      <c r="W38" s="43"/>
      <c r="X38" s="43"/>
      <c r="Y38" s="43"/>
      <c r="Z38" s="43"/>
      <c r="AA38" s="43"/>
      <c r="AB38" s="43"/>
    </row>
    <row r="39" spans="1:28" ht="15.75" thickBot="1" x14ac:dyDescent="0.3">
      <c r="A39" s="43"/>
      <c r="B39" s="43"/>
      <c r="C39" s="43"/>
      <c r="D39" s="43"/>
      <c r="E39" s="43"/>
      <c r="F39" s="43"/>
      <c r="G39" s="43"/>
      <c r="H39" s="43"/>
      <c r="I39" s="423" t="s">
        <v>248</v>
      </c>
      <c r="J39" s="424">
        <f>IF(D7&lt;7.8,J35,J24)</f>
        <v>0</v>
      </c>
      <c r="K39" s="424">
        <f>IF(D8&lt;7.8,K35,K24)</f>
        <v>0</v>
      </c>
      <c r="L39" s="424">
        <f>IF(D9&lt;7.8,L35,L24)</f>
        <v>0</v>
      </c>
      <c r="M39" s="387"/>
      <c r="N39" s="388"/>
      <c r="O39" s="43"/>
      <c r="P39" s="43"/>
      <c r="Q39" s="43"/>
      <c r="R39" s="43"/>
      <c r="S39" s="43"/>
      <c r="T39" s="43"/>
      <c r="U39" s="388"/>
      <c r="V39" s="43"/>
      <c r="W39" s="43"/>
      <c r="X39" s="43"/>
      <c r="Y39" s="43"/>
      <c r="Z39" s="43"/>
      <c r="AA39" s="43"/>
      <c r="AB39" s="43"/>
    </row>
    <row r="40" spans="1:28" x14ac:dyDescent="0.25">
      <c r="G40" s="110"/>
      <c r="H40" s="110"/>
      <c r="M40" s="111"/>
      <c r="N40" s="110"/>
    </row>
    <row r="41" spans="1:28" x14ac:dyDescent="0.25">
      <c r="M41" s="111"/>
      <c r="N41" s="110"/>
    </row>
    <row r="42" spans="1:28" x14ac:dyDescent="0.25">
      <c r="M42" s="111"/>
      <c r="N42" s="110"/>
    </row>
    <row r="43" spans="1:28" x14ac:dyDescent="0.25">
      <c r="M43" s="111"/>
      <c r="N43" s="110"/>
    </row>
  </sheetData>
  <mergeCells count="4">
    <mergeCell ref="A11:L11"/>
    <mergeCell ref="O11:Z11"/>
    <mergeCell ref="A12:L12"/>
    <mergeCell ref="O12:Z12"/>
  </mergeCells>
  <printOptions gridLines="1"/>
  <pageMargins left="0.28749999999999998" right="0.28749999999999998" top="0.30277777777777798" bottom="0.55277777777777803" header="0.28749999999999998" footer="0.28749999999999998"/>
  <pageSetup paperSize="3" orientation="landscape" r:id="rId1"/>
  <headerFooter>
    <oddHeader>&amp;C&amp;A</oddHeader>
    <oddFooter>&amp;R&amp;F</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2:I41"/>
  <sheetViews>
    <sheetView zoomScale="110" zoomScaleNormal="110" workbookViewId="0">
      <selection activeCell="B32" sqref="B32"/>
    </sheetView>
  </sheetViews>
  <sheetFormatPr defaultRowHeight="12.75" x14ac:dyDescent="0.2"/>
  <cols>
    <col min="1" max="1" width="43.7109375" bestFit="1" customWidth="1"/>
    <col min="2" max="5" width="13.28515625" customWidth="1"/>
    <col min="6" max="6" width="19.28515625" customWidth="1"/>
    <col min="7" max="7" width="43.28515625" bestFit="1" customWidth="1"/>
  </cols>
  <sheetData>
    <row r="2" spans="1:9" x14ac:dyDescent="0.2">
      <c r="A2" s="108" t="s">
        <v>363</v>
      </c>
    </row>
    <row r="3" spans="1:9" x14ac:dyDescent="0.2">
      <c r="B3" s="482" t="s">
        <v>327</v>
      </c>
      <c r="C3" s="482"/>
      <c r="D3" s="483" t="s">
        <v>328</v>
      </c>
      <c r="E3" s="483"/>
      <c r="F3" s="80"/>
      <c r="G3" s="80"/>
      <c r="H3" s="80"/>
      <c r="I3" s="80"/>
    </row>
    <row r="4" spans="1:9" x14ac:dyDescent="0.2">
      <c r="A4" s="80"/>
      <c r="B4" s="84" t="s">
        <v>18</v>
      </c>
      <c r="C4" s="84" t="s">
        <v>39</v>
      </c>
      <c r="D4" s="84" t="s">
        <v>18</v>
      </c>
      <c r="E4" s="84" t="s">
        <v>39</v>
      </c>
      <c r="F4" s="117" t="s">
        <v>302</v>
      </c>
      <c r="G4" s="85"/>
      <c r="H4" s="80"/>
      <c r="I4" s="80"/>
    </row>
    <row r="5" spans="1:9" ht="14.25" x14ac:dyDescent="0.2">
      <c r="A5" s="80" t="s">
        <v>304</v>
      </c>
      <c r="B5" s="86">
        <f>IF(SUM(Camp!E9:E11)=0,0,Camp!E15)</f>
        <v>0</v>
      </c>
      <c r="C5" s="86">
        <f>IF(SUM(Camp!E12:E14)=0,0,Camp!E15)</f>
        <v>0</v>
      </c>
      <c r="D5" s="86">
        <f>IF(SUM(Camp!F9:F11)=0,0,Camp!F15)</f>
        <v>0</v>
      </c>
      <c r="E5" s="86">
        <f>IF(SUM(Camp!F12:F14)=0,0,Camp!F15)</f>
        <v>0</v>
      </c>
      <c r="F5" s="156">
        <v>241</v>
      </c>
      <c r="G5" s="85" t="s">
        <v>303</v>
      </c>
      <c r="H5" s="80"/>
      <c r="I5" s="80"/>
    </row>
    <row r="6" spans="1:9" ht="14.25" x14ac:dyDescent="0.2">
      <c r="A6" s="80" t="s">
        <v>306</v>
      </c>
      <c r="B6" s="88">
        <f>IF(B5=0,0,IF(Camp!E11-Camp!E10&lt;0,0,(Camp!E11-Camp!E10)/B5))</f>
        <v>0</v>
      </c>
      <c r="C6" s="88">
        <f>IF(C5=0,0,IF(Camp!E14-Camp!E13&lt;0,0,(Camp!E14-Camp!E13)/C5))</f>
        <v>0</v>
      </c>
      <c r="D6" s="88">
        <f>IF(D5=0,0,IF(Camp!F11-Camp!F10&lt;0,0,(Camp!F11-Camp!F10)/D5))</f>
        <v>0</v>
      </c>
      <c r="E6" s="88">
        <f>IF(E5=0,0,IF(Camp!F14-Camp!F13&lt;0,0,(Camp!F14-Camp!F13)/E5))</f>
        <v>0</v>
      </c>
      <c r="F6" s="156">
        <v>2174</v>
      </c>
      <c r="G6" s="87" t="s">
        <v>305</v>
      </c>
      <c r="H6" s="80"/>
      <c r="I6" s="80"/>
    </row>
    <row r="7" spans="1:9" ht="14.25" x14ac:dyDescent="0.2">
      <c r="A7" s="80" t="s">
        <v>307</v>
      </c>
      <c r="B7" s="88">
        <f>IF(B5=0,0,IF(Camp!E10-Camp!E11&lt;0,0,(Camp!E10-Camp!E11)/B5))</f>
        <v>0</v>
      </c>
      <c r="C7" s="88">
        <f>IF(C5=0,0,IF(Camp!E13-Camp!E14&lt;0,0,(Camp!E13-Camp!E14)/C5))</f>
        <v>0</v>
      </c>
      <c r="D7" s="88">
        <f>IF(D5=0,0,IF(Camp!F10-Camp!F11&lt;0,0,(Camp!F10-Camp!F11)/D5))</f>
        <v>0</v>
      </c>
      <c r="E7" s="88">
        <f>IF(E5=0,0,IF(Camp!F13-Camp!F14&lt;0,0,(Camp!F13-Camp!F14)/E5))</f>
        <v>0</v>
      </c>
      <c r="F7" s="80"/>
      <c r="G7" s="80"/>
      <c r="H7" s="80"/>
      <c r="I7" s="80"/>
    </row>
    <row r="8" spans="1:9" ht="14.25" x14ac:dyDescent="0.2">
      <c r="A8" s="80" t="s">
        <v>308</v>
      </c>
      <c r="B8" s="88">
        <f>IF(B5=0,0,IF(Camp!E10&lt;Camp!E11,Camp!E10/B5,Camp!E11/B5))</f>
        <v>0</v>
      </c>
      <c r="C8" s="88">
        <f>IF(C5=0,0,IF(Camp!E13&lt;Camp!E14,Camp!E13/C5,Camp!E14/C5))</f>
        <v>0</v>
      </c>
      <c r="D8" s="88">
        <f>IF(D5=0,0,IF(Camp!F10&lt;Camp!F11,Camp!F10/D5,Camp!F11/D5))</f>
        <v>0</v>
      </c>
      <c r="E8" s="88">
        <f>IF(E5=0,0,IF(Camp!F13&lt;Camp!F14,Camp!F13/E5,Camp!F14/E5))</f>
        <v>0</v>
      </c>
      <c r="F8" s="85" t="s">
        <v>309</v>
      </c>
      <c r="G8" s="85"/>
      <c r="H8" s="80"/>
      <c r="I8" s="80"/>
    </row>
    <row r="9" spans="1:9" ht="14.25" x14ac:dyDescent="0.2">
      <c r="A9" s="80" t="s">
        <v>310</v>
      </c>
      <c r="B9" s="86">
        <f>F9+F11*0.33</f>
        <v>5.6400000000000006</v>
      </c>
      <c r="C9" s="86">
        <f>F9+F11*0.33</f>
        <v>5.6400000000000006</v>
      </c>
      <c r="D9" s="86">
        <f>F9+F11*0.33</f>
        <v>5.6400000000000006</v>
      </c>
      <c r="E9" s="86">
        <f>F9+F11*0.33</f>
        <v>5.6400000000000006</v>
      </c>
      <c r="F9" s="89">
        <v>3</v>
      </c>
      <c r="G9" s="85" t="s">
        <v>311</v>
      </c>
      <c r="H9" s="80"/>
      <c r="I9" s="80"/>
    </row>
    <row r="10" spans="1:9" ht="14.25" x14ac:dyDescent="0.2">
      <c r="A10" s="80" t="s">
        <v>312</v>
      </c>
      <c r="B10" s="86">
        <f>F10+F11*0.67</f>
        <v>12.36</v>
      </c>
      <c r="C10" s="86">
        <f>F10+F11*0.67</f>
        <v>12.36</v>
      </c>
      <c r="D10" s="86">
        <f>F10+F11*0.67</f>
        <v>12.36</v>
      </c>
      <c r="E10" s="86">
        <f>F10+F11*0.67</f>
        <v>12.36</v>
      </c>
      <c r="F10" s="89">
        <v>7</v>
      </c>
      <c r="G10" s="85" t="s">
        <v>313</v>
      </c>
      <c r="H10" s="80"/>
      <c r="I10" s="80"/>
    </row>
    <row r="11" spans="1:9" ht="14.25" x14ac:dyDescent="0.2">
      <c r="A11" s="80" t="s">
        <v>314</v>
      </c>
      <c r="B11" s="86">
        <f>F12</f>
        <v>18</v>
      </c>
      <c r="C11" s="86">
        <f>F12</f>
        <v>18</v>
      </c>
      <c r="D11" s="86">
        <f>F12</f>
        <v>18</v>
      </c>
      <c r="E11" s="86">
        <f>F12</f>
        <v>18</v>
      </c>
      <c r="F11" s="89">
        <v>8</v>
      </c>
      <c r="G11" s="85" t="s">
        <v>315</v>
      </c>
      <c r="H11" s="80"/>
      <c r="I11" s="80"/>
    </row>
    <row r="12" spans="1:9" ht="14.25" x14ac:dyDescent="0.2">
      <c r="A12" s="80" t="s">
        <v>316</v>
      </c>
      <c r="B12" s="90">
        <f>B6*B9+B7*B10+B8*B11</f>
        <v>0</v>
      </c>
      <c r="C12" s="90">
        <f>C6*C9+C7*C10+C8*C11</f>
        <v>0</v>
      </c>
      <c r="D12" s="90">
        <f>D6*D9+D7*D10+D8*D11</f>
        <v>0</v>
      </c>
      <c r="E12" s="90">
        <f>E6*E9+E7*E10+E8*E11</f>
        <v>0</v>
      </c>
      <c r="F12" s="89">
        <f>SUM(F9:F11)</f>
        <v>18</v>
      </c>
      <c r="G12" s="85" t="s">
        <v>9</v>
      </c>
      <c r="H12" s="80"/>
      <c r="I12" s="80"/>
    </row>
    <row r="13" spans="1:9" ht="14.25" x14ac:dyDescent="0.2">
      <c r="A13" s="129" t="s">
        <v>317</v>
      </c>
      <c r="B13" s="91">
        <f>F6/F12</f>
        <v>120.77777777777777</v>
      </c>
      <c r="C13" s="91">
        <f>F6/F12</f>
        <v>120.77777777777777</v>
      </c>
      <c r="D13" s="91">
        <f>F5/F12</f>
        <v>13.388888888888889</v>
      </c>
      <c r="E13" s="91">
        <f>F5/F12</f>
        <v>13.388888888888889</v>
      </c>
      <c r="F13" s="80"/>
      <c r="G13" s="80"/>
      <c r="H13" s="80"/>
      <c r="I13" s="80"/>
    </row>
    <row r="14" spans="1:9" ht="14.25" x14ac:dyDescent="0.2">
      <c r="A14" s="130" t="s">
        <v>318</v>
      </c>
      <c r="B14" s="93">
        <f>B12*B13</f>
        <v>0</v>
      </c>
      <c r="C14" s="93">
        <f>C12*C13</f>
        <v>0</v>
      </c>
      <c r="D14" s="93">
        <f>D12*D13</f>
        <v>0</v>
      </c>
      <c r="E14" s="93">
        <f>E12*E13</f>
        <v>0</v>
      </c>
      <c r="F14" s="80"/>
      <c r="G14" s="80"/>
      <c r="H14" s="80"/>
      <c r="I14" s="80"/>
    </row>
    <row r="15" spans="1:9" ht="14.25" x14ac:dyDescent="0.2">
      <c r="A15" s="129" t="s">
        <v>319</v>
      </c>
      <c r="B15" s="94">
        <f>IF(B5=0,0,B5*B14)</f>
        <v>0</v>
      </c>
      <c r="C15" s="94">
        <f>IF(C5=0,0,C5*C14)</f>
        <v>0</v>
      </c>
      <c r="D15" s="94">
        <f>IF(D5=0,0,D5*D14)</f>
        <v>0</v>
      </c>
      <c r="E15" s="94">
        <f>IF(E5=0,0,E5*E14)</f>
        <v>0</v>
      </c>
      <c r="F15" s="80"/>
      <c r="G15" s="80"/>
      <c r="H15" s="80"/>
      <c r="I15" s="80"/>
    </row>
    <row r="16" spans="1:9" ht="14.25" x14ac:dyDescent="0.2">
      <c r="A16" s="80"/>
      <c r="B16" s="95"/>
      <c r="C16" s="95"/>
      <c r="D16" s="80"/>
      <c r="E16" s="80"/>
      <c r="F16" s="80"/>
      <c r="G16" s="80"/>
      <c r="H16" s="80"/>
      <c r="I16" s="80"/>
    </row>
    <row r="17" spans="1:9" ht="14.25" x14ac:dyDescent="0.2">
      <c r="A17" s="80" t="s">
        <v>320</v>
      </c>
      <c r="B17" s="86">
        <f>Camp!E9</f>
        <v>0</v>
      </c>
      <c r="C17" s="86">
        <f>Camp!E12</f>
        <v>0</v>
      </c>
      <c r="D17" s="80"/>
      <c r="E17" s="80"/>
      <c r="F17" s="80"/>
      <c r="G17" s="80"/>
      <c r="H17" s="80"/>
      <c r="I17" s="80"/>
    </row>
    <row r="18" spans="1:9" ht="14.25" x14ac:dyDescent="0.2">
      <c r="A18" s="92" t="s">
        <v>321</v>
      </c>
      <c r="B18" s="93">
        <f>F6</f>
        <v>2174</v>
      </c>
      <c r="C18" s="93">
        <f>F6</f>
        <v>2174</v>
      </c>
      <c r="D18" s="93" t="s">
        <v>360</v>
      </c>
      <c r="E18" s="93" t="s">
        <v>360</v>
      </c>
      <c r="F18" s="80"/>
      <c r="G18" s="80"/>
      <c r="H18" s="80"/>
      <c r="I18" s="80"/>
    </row>
    <row r="19" spans="1:9" ht="14.25" x14ac:dyDescent="0.2">
      <c r="A19" s="80" t="s">
        <v>322</v>
      </c>
      <c r="B19" s="94">
        <f>IF(B17=0,0,B17*B18)</f>
        <v>0</v>
      </c>
      <c r="C19" s="94">
        <f>IF(C17=0,0,C17*C18)</f>
        <v>0</v>
      </c>
      <c r="D19" s="82"/>
      <c r="E19" s="82"/>
      <c r="F19" s="80"/>
      <c r="G19" s="82"/>
      <c r="H19" s="80"/>
      <c r="I19" s="80"/>
    </row>
    <row r="20" spans="1:9" ht="15" x14ac:dyDescent="0.25">
      <c r="A20" s="96" t="s">
        <v>359</v>
      </c>
      <c r="B20" s="97">
        <f>B15+B19</f>
        <v>0</v>
      </c>
      <c r="C20" s="97">
        <f>C15+C19</f>
        <v>0</v>
      </c>
      <c r="D20" s="97">
        <f>D15</f>
        <v>0</v>
      </c>
      <c r="E20" s="97">
        <f>E15+E19</f>
        <v>0</v>
      </c>
      <c r="F20" s="80"/>
      <c r="G20" s="80"/>
      <c r="H20" s="80"/>
      <c r="I20" s="80"/>
    </row>
    <row r="21" spans="1:9" x14ac:dyDescent="0.2">
      <c r="A21" s="80"/>
      <c r="B21" s="80"/>
      <c r="C21" s="80"/>
      <c r="D21" s="80"/>
      <c r="E21" s="80"/>
      <c r="F21" s="80"/>
      <c r="G21" s="80"/>
      <c r="H21" s="80"/>
      <c r="I21" s="80"/>
    </row>
    <row r="22" spans="1:9" ht="14.25" x14ac:dyDescent="0.2">
      <c r="A22" s="118" t="s">
        <v>362</v>
      </c>
      <c r="B22" s="119" t="s">
        <v>354</v>
      </c>
      <c r="C22" s="120" t="s">
        <v>355</v>
      </c>
      <c r="D22" s="109" t="s">
        <v>240</v>
      </c>
      <c r="E22" s="127" t="s">
        <v>361</v>
      </c>
      <c r="F22" s="110"/>
      <c r="G22" s="80"/>
      <c r="H22" s="80"/>
      <c r="I22" s="80"/>
    </row>
    <row r="23" spans="1:9" x14ac:dyDescent="0.2">
      <c r="A23" s="111" t="s">
        <v>242</v>
      </c>
      <c r="B23" s="121">
        <v>1</v>
      </c>
      <c r="C23" s="122">
        <f>Camp!B19/7.44+4.19+3.42</f>
        <v>7.61</v>
      </c>
      <c r="D23" s="157">
        <f>'Mobe ConvEquip&amp;Camp'!V15</f>
        <v>637</v>
      </c>
      <c r="E23" s="128">
        <f t="shared" ref="E23:E31" si="0">B23*C23*D23</f>
        <v>4847.5700000000006</v>
      </c>
      <c r="F23" s="110"/>
      <c r="G23" s="45"/>
      <c r="H23" s="80"/>
      <c r="I23" s="80"/>
    </row>
    <row r="24" spans="1:9" x14ac:dyDescent="0.2">
      <c r="A24" s="111" t="s">
        <v>259</v>
      </c>
      <c r="B24" s="121">
        <v>1</v>
      </c>
      <c r="C24" s="123">
        <f>4.19*2</f>
        <v>8.3800000000000008</v>
      </c>
      <c r="D24" s="157">
        <f>'Mobe ConvEquip&amp;Camp'!V16</f>
        <v>93.95</v>
      </c>
      <c r="E24" s="128">
        <f t="shared" si="0"/>
        <v>787.30100000000004</v>
      </c>
      <c r="F24" s="110"/>
      <c r="G24" s="45"/>
      <c r="H24" s="80"/>
      <c r="I24" s="80"/>
    </row>
    <row r="25" spans="1:9" x14ac:dyDescent="0.2">
      <c r="A25" s="111" t="s">
        <v>243</v>
      </c>
      <c r="B25" s="121">
        <f>B24</f>
        <v>1</v>
      </c>
      <c r="C25" s="123">
        <f>C24</f>
        <v>8.3800000000000008</v>
      </c>
      <c r="D25" s="157">
        <f>'Mobe ConvEquip&amp;Camp'!V17</f>
        <v>37.479999999999997</v>
      </c>
      <c r="E25" s="128">
        <f t="shared" si="0"/>
        <v>314.08240000000001</v>
      </c>
      <c r="F25" s="110"/>
      <c r="G25" s="44"/>
      <c r="H25" s="80"/>
      <c r="I25" s="80"/>
    </row>
    <row r="26" spans="1:9" x14ac:dyDescent="0.2">
      <c r="A26" s="111" t="s">
        <v>356</v>
      </c>
      <c r="B26" s="121">
        <v>6</v>
      </c>
      <c r="C26" s="123">
        <f>4.19*2</f>
        <v>8.3800000000000008</v>
      </c>
      <c r="D26" s="157">
        <f>'Mobe ConvEquip&amp;Camp'!V25</f>
        <v>40.43</v>
      </c>
      <c r="E26" s="128">
        <f t="shared" si="0"/>
        <v>2032.8204000000001</v>
      </c>
      <c r="F26" s="110"/>
      <c r="G26" s="111"/>
      <c r="H26" s="80"/>
      <c r="I26" s="80"/>
    </row>
    <row r="27" spans="1:9" x14ac:dyDescent="0.2">
      <c r="A27" s="111" t="s">
        <v>270</v>
      </c>
      <c r="B27" s="121">
        <f>B26</f>
        <v>6</v>
      </c>
      <c r="C27" s="123">
        <f>C26</f>
        <v>8.3800000000000008</v>
      </c>
      <c r="D27" s="157">
        <f>'Mobe ConvEquip&amp;Camp'!V26</f>
        <v>32.9</v>
      </c>
      <c r="E27" s="128">
        <f t="shared" si="0"/>
        <v>1654.212</v>
      </c>
      <c r="F27" s="110"/>
      <c r="G27" s="111"/>
      <c r="H27" s="80"/>
      <c r="I27" s="80"/>
    </row>
    <row r="28" spans="1:9" ht="15" x14ac:dyDescent="0.25">
      <c r="A28" s="111" t="s">
        <v>357</v>
      </c>
      <c r="B28" s="124">
        <v>1</v>
      </c>
      <c r="C28" s="123">
        <v>1</v>
      </c>
      <c r="D28" s="157">
        <f>'Mobe ConvEquip&amp;Camp'!V30</f>
        <v>30.38</v>
      </c>
      <c r="E28" s="128">
        <f t="shared" si="0"/>
        <v>30.38</v>
      </c>
      <c r="F28" s="110"/>
      <c r="G28" s="111"/>
      <c r="H28" s="80"/>
      <c r="I28" s="80"/>
    </row>
    <row r="29" spans="1:9" ht="15" x14ac:dyDescent="0.25">
      <c r="A29" s="112" t="s">
        <v>483</v>
      </c>
      <c r="B29" s="121">
        <v>2</v>
      </c>
      <c r="C29" s="123">
        <v>1</v>
      </c>
      <c r="D29" s="157">
        <f>'Mobe ConvEquip&amp;Camp'!V30</f>
        <v>30.38</v>
      </c>
      <c r="E29" s="128">
        <f t="shared" si="0"/>
        <v>60.76</v>
      </c>
      <c r="F29" s="43"/>
      <c r="G29" s="142"/>
      <c r="H29" s="80"/>
      <c r="I29" s="80"/>
    </row>
    <row r="30" spans="1:9" ht="15" x14ac:dyDescent="0.25">
      <c r="A30" s="113" t="s">
        <v>486</v>
      </c>
      <c r="B30" s="121">
        <v>4</v>
      </c>
      <c r="C30" s="123">
        <f>C24</f>
        <v>8.3800000000000008</v>
      </c>
      <c r="D30" s="157">
        <f>'Mobe ConvEquip&amp;Camp'!V32</f>
        <v>32.9</v>
      </c>
      <c r="E30" s="128">
        <f t="shared" si="0"/>
        <v>1102.808</v>
      </c>
      <c r="F30" s="43"/>
      <c r="G30" s="44"/>
      <c r="H30" s="80"/>
      <c r="I30" s="80"/>
    </row>
    <row r="31" spans="1:9" ht="15.75" thickBot="1" x14ac:dyDescent="0.3">
      <c r="A31" s="114" t="s">
        <v>358</v>
      </c>
      <c r="B31" s="125">
        <v>2</v>
      </c>
      <c r="C31" s="126">
        <v>2</v>
      </c>
      <c r="D31" s="158">
        <f>'Mobe ConvEquip&amp;Camp'!V33</f>
        <v>1173</v>
      </c>
      <c r="E31" s="128">
        <f t="shared" si="0"/>
        <v>4692</v>
      </c>
      <c r="F31" s="43"/>
      <c r="G31" s="142"/>
      <c r="H31" s="80"/>
      <c r="I31" s="80"/>
    </row>
    <row r="32" spans="1:9" ht="15" thickBot="1" x14ac:dyDescent="0.25">
      <c r="C32" s="110"/>
      <c r="D32" s="110"/>
      <c r="E32" s="115">
        <f>IF(Camp!B18="Yes",SUM(E23:E31)*2,0)</f>
        <v>0</v>
      </c>
      <c r="F32" s="116"/>
      <c r="G32" s="46"/>
      <c r="H32" s="80"/>
      <c r="I32" s="80"/>
    </row>
    <row r="33" spans="1:9" x14ac:dyDescent="0.2">
      <c r="A33" s="80"/>
      <c r="B33" s="80"/>
      <c r="C33" s="80"/>
      <c r="D33" s="80"/>
      <c r="E33" s="80"/>
      <c r="F33" s="80"/>
      <c r="G33" s="44"/>
      <c r="H33" s="80"/>
      <c r="I33" s="80"/>
    </row>
    <row r="34" spans="1:9" x14ac:dyDescent="0.2">
      <c r="G34" s="44"/>
    </row>
    <row r="35" spans="1:9" x14ac:dyDescent="0.2">
      <c r="G35" s="44"/>
    </row>
    <row r="36" spans="1:9" x14ac:dyDescent="0.2">
      <c r="G36" s="44"/>
    </row>
    <row r="37" spans="1:9" x14ac:dyDescent="0.2">
      <c r="G37" s="44"/>
    </row>
    <row r="38" spans="1:9" x14ac:dyDescent="0.2">
      <c r="G38" s="45"/>
    </row>
    <row r="39" spans="1:9" x14ac:dyDescent="0.2">
      <c r="G39" s="44"/>
    </row>
    <row r="40" spans="1:9" x14ac:dyDescent="0.2">
      <c r="G40" s="44"/>
    </row>
    <row r="41" spans="1:9" x14ac:dyDescent="0.2">
      <c r="G41" s="44"/>
    </row>
  </sheetData>
  <mergeCells count="2">
    <mergeCell ref="B3:C3"/>
    <mergeCell ref="D3:E3"/>
  </mergeCells>
  <printOptions gridLines="1"/>
  <pageMargins left="0.28749999999999998" right="0.28749999999999998" top="0.30277777777777798" bottom="0.55277777777777803" header="0.28749999999999998" footer="0.28749999999999998"/>
  <pageSetup paperSize="3" orientation="landscape" r:id="rId1"/>
  <ignoredErrors>
    <ignoredError sqref="C25"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2:F14"/>
  <sheetViews>
    <sheetView workbookViewId="0"/>
  </sheetViews>
  <sheetFormatPr defaultColWidth="8.7109375" defaultRowHeight="12.75" x14ac:dyDescent="0.2"/>
  <sheetData>
    <row r="2" spans="1:6" x14ac:dyDescent="0.2">
      <c r="A2" t="s">
        <v>18</v>
      </c>
      <c r="B2">
        <v>0</v>
      </c>
      <c r="D2" t="s">
        <v>96</v>
      </c>
      <c r="E2">
        <v>1</v>
      </c>
      <c r="F2">
        <v>1</v>
      </c>
    </row>
    <row r="3" spans="1:6" x14ac:dyDescent="0.2">
      <c r="A3" t="s">
        <v>39</v>
      </c>
      <c r="B3">
        <v>0.25</v>
      </c>
      <c r="D3" t="s">
        <v>42</v>
      </c>
      <c r="E3">
        <v>2</v>
      </c>
      <c r="F3">
        <v>2</v>
      </c>
    </row>
    <row r="4" spans="1:6" x14ac:dyDescent="0.2">
      <c r="A4" t="s">
        <v>407</v>
      </c>
      <c r="B4">
        <v>0.5</v>
      </c>
      <c r="E4">
        <v>3</v>
      </c>
      <c r="F4">
        <v>4</v>
      </c>
    </row>
    <row r="5" spans="1:6" x14ac:dyDescent="0.2">
      <c r="B5">
        <v>0.75</v>
      </c>
      <c r="E5">
        <v>4</v>
      </c>
    </row>
    <row r="6" spans="1:6" x14ac:dyDescent="0.2">
      <c r="B6">
        <v>1</v>
      </c>
      <c r="E6">
        <v>5</v>
      </c>
    </row>
    <row r="8" spans="1:6" x14ac:dyDescent="0.2">
      <c r="A8" t="s">
        <v>97</v>
      </c>
    </row>
    <row r="9" spans="1:6" x14ac:dyDescent="0.2">
      <c r="A9" t="s">
        <v>88</v>
      </c>
    </row>
    <row r="10" spans="1:6" x14ac:dyDescent="0.2">
      <c r="A10">
        <v>400</v>
      </c>
    </row>
    <row r="11" spans="1:6" x14ac:dyDescent="0.2">
      <c r="A11">
        <v>500</v>
      </c>
    </row>
    <row r="12" spans="1:6" x14ac:dyDescent="0.2">
      <c r="A12">
        <v>600</v>
      </c>
    </row>
    <row r="13" spans="1:6" x14ac:dyDescent="0.2">
      <c r="A13">
        <v>700</v>
      </c>
    </row>
    <row r="14" spans="1:6" x14ac:dyDescent="0.2">
      <c r="A14">
        <v>800</v>
      </c>
    </row>
  </sheetData>
  <dataValidations count="1">
    <dataValidation type="list" operator="equal" allowBlank="1" showDropDown="1" showErrorMessage="1" sqref="A15" xr:uid="{00000000-0002-0000-0F00-000000000000}">
      <formula1>"&gt;.125,&lt;.450"</formula1>
      <formula2>0</formula2>
    </dataValidation>
  </dataValidations>
  <pageMargins left="0.7" right="0.7" top="0.75" bottom="0.75" header="0.51180555555555551" footer="0.51180555555555551"/>
  <pageSetup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CC"/>
    <pageSetUpPr fitToPage="1"/>
  </sheetPr>
  <dimension ref="A1:L22"/>
  <sheetViews>
    <sheetView zoomScale="90" zoomScaleNormal="90" workbookViewId="0">
      <selection activeCell="B7" sqref="B7"/>
    </sheetView>
  </sheetViews>
  <sheetFormatPr defaultColWidth="8.7109375" defaultRowHeight="12.75" x14ac:dyDescent="0.2"/>
  <cols>
    <col min="1" max="1" width="19.5703125" style="2" customWidth="1"/>
    <col min="2" max="2" width="15" style="2" customWidth="1"/>
    <col min="3" max="3" width="17.7109375" style="2" customWidth="1"/>
    <col min="4" max="4" width="15.28515625" style="2" customWidth="1"/>
    <col min="5" max="5" width="17.28515625" style="2" customWidth="1"/>
    <col min="6" max="6" width="21.7109375" style="2" customWidth="1"/>
    <col min="7" max="7" width="26.28515625" style="2" customWidth="1"/>
    <col min="8" max="8" width="16.5703125" style="2" customWidth="1"/>
    <col min="9" max="9" width="17.28515625" style="2" customWidth="1"/>
    <col min="10" max="10" width="24.28515625" style="2" customWidth="1"/>
    <col min="11" max="11" width="19.7109375" style="2" customWidth="1"/>
    <col min="12" max="16384" width="8.7109375" style="2"/>
  </cols>
  <sheetData>
    <row r="1" spans="1:12" ht="18" x14ac:dyDescent="0.25">
      <c r="A1" s="3" t="s">
        <v>12</v>
      </c>
      <c r="B1" s="53"/>
      <c r="C1" s="53"/>
      <c r="G1" s="265">
        <v>45968</v>
      </c>
      <c r="K1" s="4"/>
    </row>
    <row r="2" spans="1:12" ht="14.25" x14ac:dyDescent="0.2">
      <c r="A2" s="180" t="s">
        <v>405</v>
      </c>
      <c r="B2" s="180"/>
      <c r="C2" s="180"/>
      <c r="D2" s="180"/>
      <c r="E2" s="180"/>
      <c r="F2" s="180"/>
      <c r="H2" s="180"/>
      <c r="I2" s="180"/>
      <c r="K2" s="180"/>
    </row>
    <row r="3" spans="1:12" ht="14.25" x14ac:dyDescent="0.2">
      <c r="A3" s="180" t="s">
        <v>490</v>
      </c>
      <c r="B3" s="180"/>
      <c r="C3" s="180"/>
      <c r="D3" s="180"/>
      <c r="E3" s="180"/>
      <c r="F3" s="180"/>
      <c r="H3" s="180"/>
      <c r="I3" s="180"/>
      <c r="K3" s="180"/>
    </row>
    <row r="4" spans="1:12" ht="14.25" x14ac:dyDescent="0.2">
      <c r="A4" s="180"/>
      <c r="B4" s="180"/>
      <c r="C4" s="180"/>
      <c r="D4" s="180"/>
      <c r="E4" s="180"/>
      <c r="F4" s="180"/>
      <c r="G4" s="180"/>
      <c r="H4" s="255"/>
      <c r="I4" s="180"/>
      <c r="L4" s="180"/>
    </row>
    <row r="5" spans="1:12" ht="14.25" x14ac:dyDescent="0.2">
      <c r="A5" s="180"/>
      <c r="B5" s="180"/>
      <c r="C5" s="180"/>
      <c r="D5" s="180"/>
      <c r="E5" s="180"/>
      <c r="F5" s="180"/>
      <c r="G5" s="180"/>
      <c r="H5" s="180"/>
      <c r="I5" s="180"/>
      <c r="J5" s="180"/>
      <c r="K5" s="180"/>
      <c r="L5" s="180"/>
    </row>
    <row r="6" spans="1:12" ht="78.75" x14ac:dyDescent="0.2">
      <c r="A6" s="308" t="s">
        <v>406</v>
      </c>
      <c r="B6" s="266" t="s">
        <v>499</v>
      </c>
      <c r="C6" s="266" t="s">
        <v>504</v>
      </c>
      <c r="D6" s="266" t="s">
        <v>500</v>
      </c>
      <c r="E6" s="281" t="s">
        <v>501</v>
      </c>
      <c r="F6" s="281" t="s">
        <v>474</v>
      </c>
      <c r="G6" s="281" t="s">
        <v>543</v>
      </c>
      <c r="H6" s="266" t="s">
        <v>572</v>
      </c>
      <c r="I6" s="282" t="s">
        <v>573</v>
      </c>
      <c r="J6" s="281" t="s">
        <v>492</v>
      </c>
      <c r="K6" s="383"/>
    </row>
    <row r="7" spans="1:12" ht="15" x14ac:dyDescent="0.25">
      <c r="A7" s="107" t="s">
        <v>409</v>
      </c>
      <c r="B7" s="300"/>
      <c r="C7" s="302"/>
      <c r="D7" s="301"/>
      <c r="E7" s="300"/>
      <c r="F7" s="302"/>
      <c r="G7" s="307"/>
      <c r="H7" s="343">
        <f>IF(C7="Yes",25.3,0)</f>
        <v>0</v>
      </c>
      <c r="I7" s="343">
        <f>IF(E7=0,0,((D7/2/1.5+D7/2/6.6)/24+F7)*11363/(G7*240)+H7+23.5)</f>
        <v>0</v>
      </c>
      <c r="J7" s="309">
        <f>IF(E7=0,0,I7*E7)</f>
        <v>0</v>
      </c>
      <c r="K7" s="384" t="s">
        <v>487</v>
      </c>
    </row>
    <row r="8" spans="1:12" ht="15" x14ac:dyDescent="0.25">
      <c r="A8" s="107" t="s">
        <v>410</v>
      </c>
      <c r="B8" s="300"/>
      <c r="C8" s="302"/>
      <c r="D8" s="301"/>
      <c r="E8" s="300"/>
      <c r="F8" s="302"/>
      <c r="G8" s="307"/>
      <c r="H8" s="343">
        <f t="shared" ref="H8:H10" si="0">IF(C8="Yes",25.3,0)</f>
        <v>0</v>
      </c>
      <c r="I8" s="343">
        <f t="shared" ref="I8:I10" si="1">IF(E8=0,0,((D8/2/1.5+D8/2/6.6)/24+F8)*11363/(G8*240)+H8+23.5)</f>
        <v>0</v>
      </c>
      <c r="J8" s="309">
        <f>IF(E8=0,0,I8*E8)</f>
        <v>0</v>
      </c>
      <c r="K8" s="384" t="s">
        <v>487</v>
      </c>
    </row>
    <row r="9" spans="1:12" ht="15" x14ac:dyDescent="0.25">
      <c r="A9" s="371" t="s">
        <v>491</v>
      </c>
      <c r="B9" s="372"/>
      <c r="C9" s="373"/>
      <c r="D9" s="375"/>
      <c r="E9" s="372"/>
      <c r="F9" s="302"/>
      <c r="G9" s="307"/>
      <c r="H9" s="343">
        <f t="shared" si="0"/>
        <v>0</v>
      </c>
      <c r="I9" s="343">
        <f t="shared" si="1"/>
        <v>0</v>
      </c>
      <c r="J9" s="309">
        <f>IF(E9=0,0,I9*E9)</f>
        <v>0</v>
      </c>
      <c r="K9" s="384" t="s">
        <v>487</v>
      </c>
    </row>
    <row r="10" spans="1:12" ht="15.75" thickBot="1" x14ac:dyDescent="0.3">
      <c r="A10" s="377" t="s">
        <v>503</v>
      </c>
      <c r="B10" s="378"/>
      <c r="C10" s="379"/>
      <c r="D10" s="380"/>
      <c r="E10" s="378"/>
      <c r="F10" s="376"/>
      <c r="G10" s="307"/>
      <c r="H10" s="343">
        <f t="shared" si="0"/>
        <v>0</v>
      </c>
      <c r="I10" s="343">
        <f t="shared" si="1"/>
        <v>0</v>
      </c>
      <c r="J10" s="310">
        <f>IF(E10=0,0,I10*E10)</f>
        <v>0</v>
      </c>
      <c r="K10" s="384" t="s">
        <v>487</v>
      </c>
    </row>
    <row r="11" spans="1:12" ht="34.9" customHeight="1" thickBot="1" x14ac:dyDescent="0.3">
      <c r="A11" s="374"/>
      <c r="C11" s="374"/>
      <c r="D11" s="381" t="s">
        <v>525</v>
      </c>
      <c r="E11" s="382">
        <f>IF(C7="Yes",E7,0)+IF(C8="Yes",E8,0)+IF(C9="Yes",E9,0)+IF(C10="Yes",E10,0)</f>
        <v>0</v>
      </c>
      <c r="F11" s="484" t="s">
        <v>580</v>
      </c>
      <c r="G11" s="305"/>
      <c r="H11" s="247"/>
      <c r="J11" s="432">
        <f>SUM(J7:J10)</f>
        <v>0</v>
      </c>
      <c r="K11" s="431" t="s">
        <v>488</v>
      </c>
    </row>
    <row r="12" spans="1:12" ht="22.15" customHeight="1" x14ac:dyDescent="0.25">
      <c r="A12" s="256"/>
      <c r="B12" s="249"/>
      <c r="C12" s="249"/>
      <c r="D12" s="256"/>
      <c r="E12" s="249"/>
      <c r="F12" s="249"/>
      <c r="G12" s="249"/>
      <c r="H12" s="306"/>
      <c r="I12" s="467"/>
      <c r="J12" s="180"/>
    </row>
    <row r="13" spans="1:12" ht="45.6" customHeight="1" x14ac:dyDescent="0.2">
      <c r="A13" s="308" t="s">
        <v>353</v>
      </c>
      <c r="B13" s="281" t="s">
        <v>542</v>
      </c>
      <c r="C13" s="266" t="s">
        <v>494</v>
      </c>
      <c r="D13" s="266" t="s">
        <v>500</v>
      </c>
      <c r="E13" s="281" t="s">
        <v>502</v>
      </c>
      <c r="F13" s="281" t="s">
        <v>495</v>
      </c>
      <c r="G13" s="281" t="s">
        <v>493</v>
      </c>
      <c r="H13" s="383"/>
    </row>
    <row r="14" spans="1:12" ht="15" x14ac:dyDescent="0.25">
      <c r="A14" s="107" t="s">
        <v>409</v>
      </c>
      <c r="B14" s="300"/>
      <c r="C14" s="307"/>
      <c r="D14" s="301"/>
      <c r="E14" s="300"/>
      <c r="F14" s="303">
        <f>IF(E14=0,0,IF(AND(D14&gt;150,C14="Yes"),(D14/7.4+13.4)*674/283+23.5,(D14/7.5+12.3)*637/215+23.5))</f>
        <v>0</v>
      </c>
      <c r="G14" s="342">
        <f>IF(E14=0,0,F14*E14)</f>
        <v>0</v>
      </c>
      <c r="H14" s="384" t="s">
        <v>487</v>
      </c>
    </row>
    <row r="15" spans="1:12" ht="15" x14ac:dyDescent="0.25">
      <c r="A15" s="107" t="s">
        <v>410</v>
      </c>
      <c r="B15" s="300"/>
      <c r="C15" s="307"/>
      <c r="D15" s="301"/>
      <c r="E15" s="300"/>
      <c r="F15" s="303">
        <f t="shared" ref="F15:F17" si="2">IF(E15=0,0,IF(AND(D15&gt;150,C15="Yes"),(D15/7.4+13.4)*674/283+23.5,(D15/7.5+12.3)*637/215+23.5))</f>
        <v>0</v>
      </c>
      <c r="G15" s="342">
        <f>IF(E15=0,0,F15*E15)</f>
        <v>0</v>
      </c>
      <c r="H15" s="384" t="s">
        <v>487</v>
      </c>
    </row>
    <row r="16" spans="1:12" ht="15" x14ac:dyDescent="0.25">
      <c r="A16" s="107" t="s">
        <v>491</v>
      </c>
      <c r="B16" s="300"/>
      <c r="C16" s="307"/>
      <c r="D16" s="375"/>
      <c r="E16" s="372"/>
      <c r="F16" s="303">
        <f t="shared" ref="F16" si="3">IF(E16=0,0,IF(AND(D16&gt;150,C16="Yes"),(D16/7.4+13.4)*674/283+23.5,(D16/7.5+12.3)*637/215+23.5))</f>
        <v>0</v>
      </c>
      <c r="G16" s="342">
        <f>IF(E16=0,0,F16*E16)</f>
        <v>0</v>
      </c>
      <c r="H16" s="384" t="s">
        <v>487</v>
      </c>
    </row>
    <row r="17" spans="1:11" ht="15" customHeight="1" thickBot="1" x14ac:dyDescent="0.3">
      <c r="A17" s="107" t="s">
        <v>503</v>
      </c>
      <c r="B17" s="300"/>
      <c r="C17" s="307"/>
      <c r="D17" s="375"/>
      <c r="E17" s="372"/>
      <c r="F17" s="303">
        <f t="shared" si="2"/>
        <v>0</v>
      </c>
      <c r="G17" s="342">
        <f>IF(E17=0,0,F17*E17)</f>
        <v>0</v>
      </c>
      <c r="H17" s="384" t="s">
        <v>487</v>
      </c>
    </row>
    <row r="18" spans="1:11" ht="33.6" customHeight="1" thickBot="1" x14ac:dyDescent="0.3">
      <c r="A18" s="180"/>
      <c r="B18" s="304"/>
      <c r="C18" s="180"/>
      <c r="D18" s="381" t="s">
        <v>525</v>
      </c>
      <c r="E18" s="382">
        <f>SUM(E14:E17)</f>
        <v>0</v>
      </c>
      <c r="G18" s="432">
        <f>SUM(G14:G17)</f>
        <v>0</v>
      </c>
      <c r="H18" s="431" t="s">
        <v>488</v>
      </c>
    </row>
    <row r="19" spans="1:11" ht="14.25" x14ac:dyDescent="0.2">
      <c r="A19" s="180"/>
      <c r="B19" s="180"/>
      <c r="C19" s="180"/>
      <c r="D19" s="180"/>
      <c r="E19" s="180"/>
      <c r="F19" s="180"/>
      <c r="G19" s="180"/>
      <c r="H19" s="180"/>
      <c r="I19" s="180"/>
      <c r="J19" s="180"/>
      <c r="K19" s="180"/>
    </row>
    <row r="20" spans="1:11" ht="14.25" x14ac:dyDescent="0.2">
      <c r="A20" s="180"/>
      <c r="B20" s="180"/>
      <c r="C20" s="180"/>
      <c r="D20" s="180"/>
      <c r="E20" s="180"/>
      <c r="F20" s="180"/>
      <c r="G20" s="180"/>
      <c r="H20" s="180"/>
      <c r="I20" s="180"/>
      <c r="J20" s="180"/>
      <c r="K20" s="180"/>
    </row>
    <row r="21" spans="1:11" ht="15" x14ac:dyDescent="0.25">
      <c r="A21" s="256"/>
      <c r="B21" s="180"/>
      <c r="C21" s="180"/>
      <c r="D21" s="180"/>
      <c r="E21" s="180"/>
      <c r="F21" s="180"/>
      <c r="G21" s="180"/>
      <c r="H21" s="180"/>
      <c r="I21" s="180"/>
      <c r="J21" s="180"/>
      <c r="K21" s="180"/>
    </row>
    <row r="22" spans="1:11" ht="14.25" x14ac:dyDescent="0.2">
      <c r="A22" s="180"/>
      <c r="B22" s="180"/>
      <c r="C22" s="180"/>
      <c r="D22" s="180"/>
      <c r="E22" s="180"/>
      <c r="F22" s="180"/>
      <c r="G22" s="180"/>
      <c r="H22" s="180"/>
      <c r="I22" s="180"/>
      <c r="J22" s="180"/>
      <c r="K22" s="180"/>
    </row>
  </sheetData>
  <sheetProtection algorithmName="SHA-512" hashValue="lbkM1pznDV0FDqSHRreTT035Sw/a1XiMwnASVoh+YSul5/HCaDYcPm4jPK+ZOG12+SMXE1fuA32vJcd+ect7Yg==" saltValue="6cCBoxcAri5mjnaVsRCJUA==" spinCount="100000" sheet="1"/>
  <dataValidations count="1">
    <dataValidation allowBlank="1" showInputMessage="1" showErrorMessage="1" error="Please select from list." sqref="B4 G7:G10" xr:uid="{00000000-0002-0000-0100-000000000000}"/>
  </dataValidations>
  <printOptions gridLines="1"/>
  <pageMargins left="0.45" right="0.45" top="0.75" bottom="0.75" header="0.51180555555555551" footer="0.51180555555555551"/>
  <pageSetup paperSize="3" scale="99"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Select Yes or No" xr:uid="{7301B5D3-E572-41D3-AAD4-F578275CC1D3}">
          <x14:formula1>
            <xm:f>droplist!$D$2:$D$3</xm:f>
          </x14:formula1>
          <xm:sqref>C7:C10 C14:C17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pageSetUpPr fitToPage="1"/>
  </sheetPr>
  <dimension ref="A1:G11"/>
  <sheetViews>
    <sheetView zoomScale="90" zoomScaleNormal="90" workbookViewId="0">
      <selection activeCell="B7" sqref="B7"/>
    </sheetView>
  </sheetViews>
  <sheetFormatPr defaultColWidth="9" defaultRowHeight="12.75" x14ac:dyDescent="0.2"/>
  <cols>
    <col min="1" max="1" width="34.28515625" style="2" customWidth="1"/>
    <col min="2" max="2" width="16.28515625" style="2" customWidth="1"/>
    <col min="3" max="3" width="21.28515625" style="2" customWidth="1"/>
    <col min="4" max="4" width="28" style="2" customWidth="1"/>
    <col min="5" max="5" width="21.7109375" style="2" customWidth="1"/>
    <col min="6" max="6" width="24.5703125" style="2" customWidth="1"/>
    <col min="7" max="8" width="11.7109375" style="2" customWidth="1"/>
    <col min="9" max="16384" width="9" style="2"/>
  </cols>
  <sheetData>
    <row r="1" spans="1:7" ht="18" x14ac:dyDescent="0.25">
      <c r="A1" s="38" t="s">
        <v>513</v>
      </c>
      <c r="B1" s="39"/>
      <c r="F1" s="465">
        <v>45968</v>
      </c>
    </row>
    <row r="2" spans="1:7" ht="14.25" x14ac:dyDescent="0.2">
      <c r="A2" s="180" t="s">
        <v>299</v>
      </c>
      <c r="B2" s="180"/>
      <c r="C2" s="180"/>
      <c r="D2" s="180"/>
      <c r="E2" s="180"/>
      <c r="F2" s="180"/>
    </row>
    <row r="3" spans="1:7" ht="14.25" x14ac:dyDescent="0.2">
      <c r="A3" s="180" t="s">
        <v>298</v>
      </c>
      <c r="B3" s="180"/>
      <c r="C3" s="180"/>
      <c r="D3" s="180"/>
      <c r="E3" s="180"/>
      <c r="F3" s="180"/>
    </row>
    <row r="4" spans="1:7" ht="14.25" x14ac:dyDescent="0.2">
      <c r="A4" s="180"/>
      <c r="B4" s="180"/>
      <c r="C4" s="180"/>
      <c r="D4" s="180"/>
      <c r="E4" s="180"/>
      <c r="F4" s="180"/>
    </row>
    <row r="5" spans="1:7" ht="13.15" customHeight="1" x14ac:dyDescent="0.25">
      <c r="A5" s="256"/>
      <c r="B5" s="180"/>
      <c r="C5" s="180"/>
      <c r="D5" s="180"/>
      <c r="E5" s="180"/>
      <c r="F5" s="180"/>
    </row>
    <row r="6" spans="1:7" s="41" customFormat="1" ht="76.150000000000006" customHeight="1" x14ac:dyDescent="0.25">
      <c r="A6" s="257" t="s">
        <v>41</v>
      </c>
      <c r="B6" s="258" t="s">
        <v>454</v>
      </c>
      <c r="C6" s="259" t="s">
        <v>455</v>
      </c>
      <c r="D6" s="259" t="s">
        <v>456</v>
      </c>
      <c r="E6" s="259" t="s">
        <v>457</v>
      </c>
      <c r="F6" s="258" t="s">
        <v>510</v>
      </c>
    </row>
    <row r="7" spans="1:7" s="41" customFormat="1" ht="15.75" x14ac:dyDescent="0.25">
      <c r="A7" s="260" t="s">
        <v>279</v>
      </c>
      <c r="B7" s="261"/>
      <c r="C7" s="262"/>
      <c r="D7" s="263"/>
      <c r="E7" s="264"/>
      <c r="F7" s="73">
        <f>IF(D7=0,0,IF(AND(B7="Yes",E7=0),"need barge dist",IF(B7="No",'Mobe ConvEquip&amp;Camp'!J39,'Mobe ConvEquip&amp;Camp'!X36)))</f>
        <v>0</v>
      </c>
    </row>
    <row r="8" spans="1:7" ht="15.75" x14ac:dyDescent="0.25">
      <c r="A8" s="260" t="s">
        <v>280</v>
      </c>
      <c r="B8" s="261"/>
      <c r="C8" s="262"/>
      <c r="D8" s="263"/>
      <c r="E8" s="264"/>
      <c r="F8" s="73">
        <f>IF(D8=0,0,IF(AND(B8="Yes",E8=0),"need barge dist",IF(B8="No",'Mobe ConvEquip&amp;Camp'!K39,'Mobe ConvEquip&amp;Camp'!Y36)))</f>
        <v>0</v>
      </c>
    </row>
    <row r="9" spans="1:7" ht="15.75" x14ac:dyDescent="0.25">
      <c r="A9" s="260" t="s">
        <v>281</v>
      </c>
      <c r="B9" s="261"/>
      <c r="C9" s="262"/>
      <c r="D9" s="263"/>
      <c r="E9" s="264"/>
      <c r="F9" s="73">
        <f>IF(D9=0,0,IF(AND(B9="Yes",E9=0),"need barge dist",IF(B9="No",'Mobe ConvEquip&amp;Camp'!L39,'Mobe ConvEquip&amp;Camp'!Z36)))</f>
        <v>0</v>
      </c>
      <c r="G9" s="42"/>
    </row>
    <row r="10" spans="1:7" ht="13.5" thickBot="1" x14ac:dyDescent="0.25"/>
    <row r="11" spans="1:7" ht="18.75" thickBot="1" x14ac:dyDescent="0.3">
      <c r="D11" s="476" t="s">
        <v>297</v>
      </c>
      <c r="E11" s="476"/>
      <c r="F11" s="78">
        <f>SUM(F7:F9)</f>
        <v>0</v>
      </c>
    </row>
  </sheetData>
  <sheetProtection algorithmName="SHA-512" hashValue="oCcxnwuybkk8pp+sqy/z4iSkGeFBtH0t8Hcxs5fodP/KxUhjsT0ejKBzBFE/3WOJZLQVbk543aLS/CXDcn8oWg==" saltValue="GR1Q75+Lc7h904sTgBDu7g==" spinCount="100000" sheet="1"/>
  <mergeCells count="1">
    <mergeCell ref="D11:E11"/>
  </mergeCells>
  <printOptions gridLines="1"/>
  <pageMargins left="0.45" right="0.45" top="0.75" bottom="0.75" header="0.51180555555555551" footer="0.51180555555555551"/>
  <pageSetup paperSize="3"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list." xr:uid="{00000000-0002-0000-0400-000000000000}">
          <x14:formula1>
            <xm:f>droplist!$E$2:$E$4</xm:f>
          </x14:formula1>
          <xm:sqref>C7:C9</xm:sqref>
        </x14:dataValidation>
        <x14:dataValidation type="list" allowBlank="1" showInputMessage="1" showErrorMessage="1" error="Please select from list." xr:uid="{00000000-0002-0000-0400-000001000000}">
          <x14:formula1>
            <xm:f>droplist!$D$2:$D$3</xm:f>
          </x14:formula1>
          <xm:sqref>B7:B9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pageSetUpPr fitToPage="1"/>
  </sheetPr>
  <dimension ref="A1:I28"/>
  <sheetViews>
    <sheetView zoomScale="90" zoomScaleNormal="90" workbookViewId="0">
      <selection activeCell="B8" sqref="B8"/>
    </sheetView>
  </sheetViews>
  <sheetFormatPr defaultColWidth="9.28515625" defaultRowHeight="12.75" x14ac:dyDescent="0.2"/>
  <cols>
    <col min="1" max="1" width="36.28515625" style="2" customWidth="1"/>
    <col min="2" max="2" width="20.7109375" style="2" customWidth="1"/>
    <col min="3" max="3" width="17.7109375" style="2" bestFit="1" customWidth="1"/>
    <col min="4" max="4" width="22.28515625" style="2" customWidth="1"/>
    <col min="5" max="5" width="22" style="2" customWidth="1"/>
    <col min="6" max="6" width="19.7109375" style="2" customWidth="1"/>
    <col min="7" max="7" width="18.5703125" style="2" customWidth="1"/>
    <col min="8" max="8" width="13.7109375" style="2" hidden="1" customWidth="1"/>
    <col min="9" max="9" width="0" style="2" hidden="1" customWidth="1"/>
    <col min="10" max="16384" width="9.28515625" style="2"/>
  </cols>
  <sheetData>
    <row r="1" spans="1:9" ht="18" x14ac:dyDescent="0.25">
      <c r="A1" s="3" t="s">
        <v>43</v>
      </c>
      <c r="E1" s="189">
        <v>45968</v>
      </c>
      <c r="G1" s="4"/>
    </row>
    <row r="2" spans="1:9" ht="14.25" x14ac:dyDescent="0.2">
      <c r="A2" s="225" t="s">
        <v>44</v>
      </c>
      <c r="B2" s="180"/>
      <c r="C2" s="180"/>
      <c r="D2" s="180"/>
      <c r="E2" s="180"/>
      <c r="F2" s="180"/>
      <c r="G2" s="180"/>
      <c r="H2" s="180"/>
    </row>
    <row r="3" spans="1:9" ht="14.25" x14ac:dyDescent="0.2">
      <c r="A3" s="180"/>
      <c r="D3" s="180"/>
      <c r="E3" s="180"/>
      <c r="F3" s="180"/>
      <c r="G3" s="180"/>
      <c r="H3" s="180"/>
    </row>
    <row r="4" spans="1:9" ht="45" x14ac:dyDescent="0.25">
      <c r="A4" s="227" t="s">
        <v>45</v>
      </c>
      <c r="B4" s="228" t="s">
        <v>516</v>
      </c>
      <c r="C4" s="229"/>
      <c r="D4" s="180"/>
      <c r="E4" s="180"/>
      <c r="F4" s="180"/>
      <c r="G4" s="180"/>
      <c r="H4" s="180"/>
    </row>
    <row r="5" spans="1:9" ht="14.25" x14ac:dyDescent="0.2">
      <c r="A5" s="230"/>
      <c r="B5" s="231">
        <f>ConvEquipMobe!F11</f>
        <v>0</v>
      </c>
      <c r="C5" s="180"/>
      <c r="D5" s="180"/>
      <c r="E5" s="180"/>
      <c r="F5" s="180"/>
      <c r="G5" s="180"/>
      <c r="H5" s="180"/>
    </row>
    <row r="6" spans="1:9" ht="14.25" x14ac:dyDescent="0.2">
      <c r="A6" s="180"/>
      <c r="B6" s="180"/>
      <c r="C6" s="180"/>
      <c r="D6" s="180"/>
      <c r="E6" s="180"/>
      <c r="F6" s="180"/>
      <c r="G6" s="180"/>
      <c r="H6" s="180"/>
    </row>
    <row r="7" spans="1:9" ht="72.75" x14ac:dyDescent="0.25">
      <c r="A7" s="232" t="s">
        <v>46</v>
      </c>
      <c r="B7" s="233" t="s">
        <v>546</v>
      </c>
      <c r="C7" s="233" t="s">
        <v>547</v>
      </c>
      <c r="D7" s="234" t="s">
        <v>548</v>
      </c>
      <c r="E7" s="233" t="s">
        <v>549</v>
      </c>
      <c r="F7" s="235" t="s">
        <v>47</v>
      </c>
      <c r="G7" s="236"/>
    </row>
    <row r="8" spans="1:9" ht="15" x14ac:dyDescent="0.25">
      <c r="A8" s="237" t="s">
        <v>250</v>
      </c>
      <c r="B8" s="238"/>
      <c r="C8" s="238"/>
      <c r="D8" s="239"/>
      <c r="E8" s="240">
        <f>IF(B8=0,0,3665*218*(0.55+27*C8/B8)/(218*C8*134.4)+78.08+B5*(D8/SUM(D8:D9))/D8)</f>
        <v>0</v>
      </c>
      <c r="F8" s="241" t="s">
        <v>49</v>
      </c>
      <c r="G8" s="243"/>
      <c r="H8" s="7" t="s">
        <v>251</v>
      </c>
    </row>
    <row r="9" spans="1:9" ht="15" x14ac:dyDescent="0.25">
      <c r="A9" s="237" t="s">
        <v>48</v>
      </c>
      <c r="B9" s="238"/>
      <c r="C9" s="238"/>
      <c r="D9" s="239"/>
      <c r="E9" s="240">
        <f>IF(B9=0,0,8515*(6.11+(63.47+42.37*C9)/(B9/0.46))/(68.08+827*C9)+78.08+B5*(D9/SUM(D8:D9))/D9)</f>
        <v>0</v>
      </c>
      <c r="F9" s="241" t="s">
        <v>511</v>
      </c>
      <c r="G9" s="242"/>
      <c r="H9" s="6"/>
    </row>
    <row r="10" spans="1:9" ht="15" hidden="1" x14ac:dyDescent="0.25">
      <c r="A10" s="237" t="s">
        <v>50</v>
      </c>
      <c r="B10" s="238"/>
      <c r="C10" s="238"/>
      <c r="D10" s="226" t="s">
        <v>360</v>
      </c>
      <c r="E10" s="239"/>
      <c r="F10" s="240">
        <f>IF(B10=0,0,2726*D10*(0.55+27*C10/B10)/(218*C10*134.4)+66.21+B5*(E10/SUM(E9:E12))/E10)</f>
        <v>0</v>
      </c>
      <c r="G10" s="241" t="s">
        <v>51</v>
      </c>
      <c r="H10" s="243"/>
      <c r="I10" s="7" t="s">
        <v>249</v>
      </c>
    </row>
    <row r="11" spans="1:9" ht="15" hidden="1" x14ac:dyDescent="0.25">
      <c r="A11" s="237" t="s">
        <v>52</v>
      </c>
      <c r="B11" s="238"/>
      <c r="C11" s="238"/>
      <c r="D11" s="226" t="s">
        <v>360</v>
      </c>
      <c r="E11" s="239"/>
      <c r="F11" s="240">
        <f>IF(B11=0,0,2726*218*1.176*(0.55+27*C11/B11)/(218*C11*134.4)+66.21+B5*(E11/SUM(E9:E12))/E11)</f>
        <v>0</v>
      </c>
      <c r="G11" s="241" t="s">
        <v>49</v>
      </c>
      <c r="H11" s="243"/>
      <c r="I11" s="7" t="s">
        <v>249</v>
      </c>
    </row>
    <row r="12" spans="1:9" ht="15" hidden="1" x14ac:dyDescent="0.25">
      <c r="A12" s="237" t="s">
        <v>53</v>
      </c>
      <c r="B12" s="238"/>
      <c r="C12" s="238"/>
      <c r="D12" s="244"/>
      <c r="E12" s="239"/>
      <c r="F12" s="240">
        <f>IF(B12=0,0,1.55*2726*100*218*(0.55+27*C12/B12)/((100-15)*218*C12*134.4)+66.21+B5*(E12/SUM(E9:E12))/E12)</f>
        <v>0</v>
      </c>
      <c r="G12" s="245" t="s">
        <v>49</v>
      </c>
      <c r="H12" s="246"/>
      <c r="I12" s="7" t="s">
        <v>249</v>
      </c>
    </row>
    <row r="13" spans="1:9" ht="14.25" x14ac:dyDescent="0.2">
      <c r="A13" s="180"/>
      <c r="B13" s="247" t="s">
        <v>4</v>
      </c>
      <c r="C13" s="247"/>
      <c r="D13" s="248"/>
      <c r="E13" s="249"/>
      <c r="F13" s="250"/>
      <c r="G13" s="180"/>
      <c r="H13" s="180"/>
    </row>
    <row r="14" spans="1:9" ht="30" x14ac:dyDescent="0.25">
      <c r="A14" s="227" t="s">
        <v>452</v>
      </c>
      <c r="B14" s="251" t="s">
        <v>453</v>
      </c>
      <c r="C14" s="252"/>
      <c r="D14" s="253"/>
      <c r="E14" s="252"/>
      <c r="F14" s="254"/>
      <c r="G14" s="180"/>
      <c r="H14" s="180"/>
    </row>
    <row r="15" spans="1:9" ht="14.25" x14ac:dyDescent="0.2">
      <c r="A15" s="180"/>
      <c r="B15" s="255"/>
      <c r="C15" s="255"/>
      <c r="D15" s="255"/>
      <c r="E15" s="255"/>
      <c r="F15" s="255"/>
      <c r="G15" s="180"/>
      <c r="H15" s="180"/>
    </row>
    <row r="16" spans="1:9" ht="14.25" x14ac:dyDescent="0.2">
      <c r="A16" s="180"/>
      <c r="B16" s="180"/>
      <c r="C16" s="180"/>
      <c r="D16" s="180"/>
      <c r="E16" s="180"/>
      <c r="F16" s="180"/>
      <c r="G16" s="180"/>
      <c r="H16" s="180"/>
    </row>
    <row r="17" spans="1:8" ht="14.25" x14ac:dyDescent="0.2">
      <c r="A17" s="180"/>
      <c r="B17" s="180"/>
      <c r="C17" s="180"/>
      <c r="D17" s="180"/>
      <c r="E17" s="180"/>
      <c r="F17" s="180"/>
      <c r="G17" s="180"/>
      <c r="H17" s="180"/>
    </row>
    <row r="18" spans="1:8" ht="14.25" x14ac:dyDescent="0.2">
      <c r="A18" s="180"/>
      <c r="B18" s="180"/>
      <c r="C18" s="180"/>
      <c r="D18" s="180"/>
      <c r="E18" s="180"/>
      <c r="F18" s="180"/>
      <c r="G18" s="180"/>
      <c r="H18" s="180"/>
    </row>
    <row r="19" spans="1:8" ht="14.25" x14ac:dyDescent="0.2">
      <c r="A19" s="180"/>
      <c r="B19" s="180"/>
      <c r="C19" s="180"/>
      <c r="D19" s="180"/>
      <c r="E19" s="180"/>
      <c r="F19" s="180"/>
      <c r="G19" s="180"/>
      <c r="H19" s="180"/>
    </row>
    <row r="20" spans="1:8" ht="14.25" x14ac:dyDescent="0.2">
      <c r="A20" s="180"/>
      <c r="B20" s="180"/>
      <c r="C20" s="180"/>
      <c r="D20" s="180"/>
      <c r="E20" s="180"/>
      <c r="F20" s="180"/>
      <c r="G20" s="180"/>
      <c r="H20" s="180"/>
    </row>
    <row r="21" spans="1:8" ht="14.25" x14ac:dyDescent="0.2">
      <c r="A21" s="180"/>
      <c r="B21" s="180"/>
      <c r="C21" s="180"/>
      <c r="D21" s="180"/>
      <c r="E21" s="180"/>
      <c r="F21" s="180"/>
      <c r="G21" s="180"/>
      <c r="H21" s="180"/>
    </row>
    <row r="22" spans="1:8" ht="14.25" x14ac:dyDescent="0.2">
      <c r="A22" s="180"/>
      <c r="B22" s="180"/>
      <c r="C22" s="180"/>
      <c r="D22" s="180"/>
      <c r="E22" s="180"/>
      <c r="F22" s="180"/>
      <c r="G22" s="180"/>
      <c r="H22" s="180"/>
    </row>
    <row r="23" spans="1:8" ht="14.25" x14ac:dyDescent="0.2">
      <c r="A23" s="180"/>
      <c r="B23" s="180"/>
      <c r="C23" s="180"/>
      <c r="D23" s="180"/>
      <c r="E23" s="180"/>
      <c r="F23" s="180"/>
      <c r="G23" s="180"/>
      <c r="H23" s="180"/>
    </row>
    <row r="24" spans="1:8" ht="14.25" x14ac:dyDescent="0.2">
      <c r="A24" s="180"/>
      <c r="B24" s="180"/>
      <c r="C24" s="180"/>
      <c r="D24" s="180"/>
      <c r="E24" s="180"/>
      <c r="F24" s="180"/>
      <c r="G24" s="180"/>
      <c r="H24" s="180"/>
    </row>
    <row r="25" spans="1:8" ht="14.25" x14ac:dyDescent="0.2">
      <c r="A25" s="180"/>
      <c r="B25" s="180"/>
      <c r="C25" s="180"/>
      <c r="D25" s="180"/>
      <c r="E25" s="180"/>
      <c r="F25" s="180"/>
      <c r="G25" s="180"/>
      <c r="H25" s="180"/>
    </row>
    <row r="26" spans="1:8" ht="14.25" x14ac:dyDescent="0.2">
      <c r="A26" s="180"/>
      <c r="B26" s="180"/>
      <c r="C26" s="180"/>
      <c r="D26" s="180"/>
      <c r="E26" s="180"/>
      <c r="F26" s="180"/>
      <c r="G26" s="180"/>
      <c r="H26" s="180"/>
    </row>
    <row r="27" spans="1:8" ht="14.25" x14ac:dyDescent="0.2">
      <c r="A27" s="180"/>
      <c r="B27" s="180"/>
      <c r="C27" s="180"/>
      <c r="D27" s="180"/>
      <c r="E27" s="180"/>
      <c r="F27" s="180"/>
      <c r="G27" s="180"/>
      <c r="H27" s="180"/>
    </row>
    <row r="28" spans="1:8" ht="14.25" x14ac:dyDescent="0.2">
      <c r="A28" s="180"/>
      <c r="B28" s="180"/>
      <c r="C28" s="180"/>
      <c r="D28" s="180"/>
      <c r="E28" s="180"/>
      <c r="F28" s="180"/>
      <c r="G28" s="180"/>
      <c r="H28" s="180"/>
    </row>
  </sheetData>
  <sheetProtection algorithmName="SHA-512" hashValue="BB87RGaZPEMtOFPK93AM/P8GndPF5mlVmT1bzyoz6O8o8/tVw9UEf/IdC+rt5v9mCYJfUc3a019engEEzNFL2w==" saltValue="AaRpOkfadOeSxUpHy3H62w==" spinCount="100000" sheet="1" selectLockedCells="1"/>
  <dataValidations count="1">
    <dataValidation allowBlank="1" showErrorMessage="1" error="Invalid entry" sqref="D9 E10:E12" xr:uid="{00000000-0002-0000-0500-000000000000}">
      <formula1>351</formula1>
      <formula2>500</formula2>
    </dataValidation>
  </dataValidations>
  <printOptions gridLines="1"/>
  <pageMargins left="0.45" right="0.45" top="0.75" bottom="0.75" header="0.51180555555555551" footer="0.51180555555555551"/>
  <pageSetup paperSize="3"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FFCC"/>
    <pageSetUpPr fitToPage="1"/>
  </sheetPr>
  <dimension ref="A1:F27"/>
  <sheetViews>
    <sheetView zoomScale="90" zoomScaleNormal="90" workbookViewId="0">
      <selection activeCell="B9" sqref="B9"/>
    </sheetView>
  </sheetViews>
  <sheetFormatPr defaultColWidth="8.7109375" defaultRowHeight="12.75" x14ac:dyDescent="0.2"/>
  <cols>
    <col min="1" max="1" width="55.42578125" style="80" customWidth="1"/>
    <col min="2" max="3" width="25.7109375" style="80" customWidth="1"/>
    <col min="4" max="4" width="14.42578125" style="80" customWidth="1"/>
    <col min="5" max="5" width="22.5703125" style="80" customWidth="1"/>
    <col min="6" max="6" width="23.7109375" style="80" customWidth="1"/>
    <col min="7" max="8" width="10.7109375" style="80" customWidth="1"/>
    <col min="9" max="16384" width="8.7109375" style="80"/>
  </cols>
  <sheetData>
    <row r="1" spans="1:6" ht="18" x14ac:dyDescent="0.25">
      <c r="A1" s="79" t="s">
        <v>0</v>
      </c>
      <c r="D1" s="311"/>
      <c r="E1" s="4"/>
      <c r="F1" s="81">
        <v>45968</v>
      </c>
    </row>
    <row r="2" spans="1:6" ht="13.15" customHeight="1" x14ac:dyDescent="0.2">
      <c r="A2" s="83" t="s">
        <v>252</v>
      </c>
      <c r="B2" s="101"/>
      <c r="C2" s="101"/>
      <c r="D2" s="101"/>
      <c r="E2" s="102"/>
      <c r="F2" s="101"/>
    </row>
    <row r="3" spans="1:6" ht="13.15" customHeight="1" x14ac:dyDescent="0.2">
      <c r="A3" s="83" t="s">
        <v>1</v>
      </c>
      <c r="B3" s="101"/>
      <c r="C3" s="101"/>
      <c r="D3" s="101"/>
      <c r="E3" s="101"/>
      <c r="F3" s="101"/>
    </row>
    <row r="4" spans="1:6" ht="13.15" customHeight="1" x14ac:dyDescent="0.2">
      <c r="A4" s="83" t="s">
        <v>2</v>
      </c>
      <c r="B4" s="101"/>
      <c r="C4" s="101"/>
      <c r="D4" s="101"/>
      <c r="E4" s="101"/>
      <c r="F4" s="101"/>
    </row>
    <row r="5" spans="1:6" ht="13.15" customHeight="1" x14ac:dyDescent="0.2">
      <c r="A5" s="83" t="s">
        <v>253</v>
      </c>
      <c r="B5" s="101"/>
      <c r="C5" s="101"/>
      <c r="D5" s="101"/>
      <c r="E5" s="101"/>
      <c r="F5" s="101"/>
    </row>
    <row r="6" spans="1:6" ht="13.15" customHeight="1" x14ac:dyDescent="0.2">
      <c r="A6" s="83"/>
    </row>
    <row r="7" spans="1:6" ht="30" x14ac:dyDescent="0.25">
      <c r="A7" s="95"/>
      <c r="B7" s="312" t="s">
        <v>475</v>
      </c>
      <c r="C7" s="312" t="s">
        <v>476</v>
      </c>
      <c r="D7" s="313" t="s">
        <v>324</v>
      </c>
      <c r="E7" s="477" t="s">
        <v>477</v>
      </c>
      <c r="F7" s="478"/>
    </row>
    <row r="8" spans="1:6" ht="52.5" customHeight="1" x14ac:dyDescent="0.2">
      <c r="A8" s="314" t="s">
        <v>3</v>
      </c>
      <c r="B8" s="346" t="s">
        <v>496</v>
      </c>
      <c r="C8" s="346" t="s">
        <v>498</v>
      </c>
      <c r="D8" s="315" t="s">
        <v>325</v>
      </c>
      <c r="E8" s="314" t="s">
        <v>327</v>
      </c>
      <c r="F8" s="314" t="s">
        <v>328</v>
      </c>
    </row>
    <row r="9" spans="1:6" ht="14.25" x14ac:dyDescent="0.2">
      <c r="A9" s="316" t="s">
        <v>5</v>
      </c>
      <c r="B9" s="317"/>
      <c r="C9" s="318" t="s">
        <v>360</v>
      </c>
      <c r="D9" s="319">
        <v>132</v>
      </c>
      <c r="E9" s="320">
        <f t="shared" ref="E9:E14" si="0">B9/D9</f>
        <v>0</v>
      </c>
      <c r="F9" s="320" t="s">
        <v>360</v>
      </c>
    </row>
    <row r="10" spans="1:6" ht="14.25" x14ac:dyDescent="0.2">
      <c r="A10" s="316" t="s">
        <v>6</v>
      </c>
      <c r="B10" s="317"/>
      <c r="C10" s="317"/>
      <c r="D10" s="319">
        <v>17</v>
      </c>
      <c r="E10" s="320">
        <f t="shared" si="0"/>
        <v>0</v>
      </c>
      <c r="F10" s="320">
        <f t="shared" ref="F10:F14" si="1">C10/D10</f>
        <v>0</v>
      </c>
    </row>
    <row r="11" spans="1:6" ht="14.25" x14ac:dyDescent="0.2">
      <c r="A11" s="316" t="s">
        <v>7</v>
      </c>
      <c r="B11" s="317"/>
      <c r="C11" s="317"/>
      <c r="D11" s="319">
        <v>25.5</v>
      </c>
      <c r="E11" s="320">
        <f t="shared" si="0"/>
        <v>0</v>
      </c>
      <c r="F11" s="320">
        <f t="shared" si="1"/>
        <v>0</v>
      </c>
    </row>
    <row r="12" spans="1:6" ht="14.25" x14ac:dyDescent="0.2">
      <c r="A12" s="316" t="s">
        <v>8</v>
      </c>
      <c r="B12" s="317"/>
      <c r="C12" s="318" t="s">
        <v>360</v>
      </c>
      <c r="D12" s="319">
        <v>50</v>
      </c>
      <c r="E12" s="320">
        <f t="shared" si="0"/>
        <v>0</v>
      </c>
      <c r="F12" s="320" t="s">
        <v>360</v>
      </c>
    </row>
    <row r="13" spans="1:6" ht="14.25" x14ac:dyDescent="0.2">
      <c r="A13" s="321" t="s">
        <v>300</v>
      </c>
      <c r="B13" s="317"/>
      <c r="C13" s="317"/>
      <c r="D13" s="319">
        <v>22.5</v>
      </c>
      <c r="E13" s="320">
        <f t="shared" si="0"/>
        <v>0</v>
      </c>
      <c r="F13" s="320">
        <f t="shared" si="1"/>
        <v>0</v>
      </c>
    </row>
    <row r="14" spans="1:6" ht="15" thickBot="1" x14ac:dyDescent="0.25">
      <c r="A14" s="316" t="s">
        <v>301</v>
      </c>
      <c r="B14" s="322"/>
      <c r="C14" s="322"/>
      <c r="D14" s="319">
        <v>37.5</v>
      </c>
      <c r="E14" s="323">
        <f t="shared" si="0"/>
        <v>0</v>
      </c>
      <c r="F14" s="323">
        <f t="shared" si="1"/>
        <v>0</v>
      </c>
    </row>
    <row r="15" spans="1:6" ht="15.75" thickBot="1" x14ac:dyDescent="0.3">
      <c r="A15" s="324" t="s">
        <v>9</v>
      </c>
      <c r="B15" s="325">
        <f>ROUND(SUM(B9:B14),0)</f>
        <v>0</v>
      </c>
      <c r="C15" s="325">
        <f>ROUND(SUM(C9:C14),0)</f>
        <v>0</v>
      </c>
      <c r="D15" s="326"/>
      <c r="E15" s="327">
        <f>ROUND(IF(E10&gt;E11,E10,E11)+E9+IF(E13&gt;E14,E13,E14)+E12,0)</f>
        <v>0</v>
      </c>
      <c r="F15" s="327">
        <f>ROUND(IF(F10&gt;F11,F10,F11)+IF(F13&gt;F14,F13,F14),0)</f>
        <v>0</v>
      </c>
    </row>
    <row r="16" spans="1:6" ht="14.25" x14ac:dyDescent="0.2">
      <c r="A16" s="95"/>
      <c r="B16" s="95"/>
      <c r="C16" s="95"/>
      <c r="D16" s="95"/>
      <c r="E16" s="95"/>
      <c r="F16" s="95"/>
    </row>
    <row r="17" spans="1:6" ht="15" x14ac:dyDescent="0.25">
      <c r="A17" s="95" t="s">
        <v>550</v>
      </c>
      <c r="B17" s="95"/>
      <c r="C17" s="328"/>
      <c r="D17" s="95"/>
      <c r="E17" s="95"/>
      <c r="F17" s="95"/>
    </row>
    <row r="18" spans="1:6" ht="15" x14ac:dyDescent="0.25">
      <c r="A18" s="329" t="s">
        <v>479</v>
      </c>
      <c r="B18" s="322"/>
      <c r="C18" s="95"/>
      <c r="D18" s="95"/>
      <c r="E18" s="95"/>
      <c r="F18" s="95"/>
    </row>
    <row r="19" spans="1:6" ht="15" x14ac:dyDescent="0.25">
      <c r="A19" s="329" t="s">
        <v>519</v>
      </c>
      <c r="B19" s="330"/>
      <c r="C19" s="95"/>
      <c r="D19" s="95"/>
      <c r="E19" s="95"/>
      <c r="F19" s="95"/>
    </row>
    <row r="20" spans="1:6" ht="14.25" x14ac:dyDescent="0.2">
      <c r="A20" s="95"/>
      <c r="B20" s="95"/>
      <c r="C20" s="95"/>
      <c r="D20" s="95"/>
      <c r="E20" s="95"/>
      <c r="F20" s="95" t="s">
        <v>4</v>
      </c>
    </row>
    <row r="21" spans="1:6" ht="60.6" customHeight="1" x14ac:dyDescent="0.2">
      <c r="A21" s="314" t="s">
        <v>10</v>
      </c>
      <c r="B21" s="314" t="s">
        <v>529</v>
      </c>
      <c r="C21" s="331" t="s">
        <v>530</v>
      </c>
      <c r="D21" s="315" t="s">
        <v>329</v>
      </c>
      <c r="E21" s="314" t="s">
        <v>326</v>
      </c>
      <c r="F21" s="332" t="s">
        <v>330</v>
      </c>
    </row>
    <row r="22" spans="1:6" ht="64.150000000000006" customHeight="1" x14ac:dyDescent="0.2">
      <c r="A22" s="333" t="s">
        <v>478</v>
      </c>
      <c r="B22" s="334">
        <f>B15</f>
        <v>0</v>
      </c>
      <c r="C22" s="334">
        <f>E15</f>
        <v>0</v>
      </c>
      <c r="D22" s="98">
        <f>IF(C22=0,0,E22/B22)</f>
        <v>0</v>
      </c>
      <c r="E22" s="335">
        <f>IF(AND(B18=0,C22&gt;0),"need yes/no for full camp barged",IF(AND(B18="Yes",B19=0),"need barge dist",IF(C22=0,0,IF(E15&lt;&gt;ROUND(C22,0),"check camp days",IF(B15&lt;&gt;ROUND(B22,0),"check NET MBF",'CampMobe&amp;DailyCosts'!B20+'CampMobe&amp;DailyCosts'!C20+'CampMobe&amp;DailyCosts'!E32)))))</f>
        <v>0</v>
      </c>
      <c r="F22" s="336"/>
    </row>
    <row r="23" spans="1:6" ht="28.15" customHeight="1" thickBot="1" x14ac:dyDescent="0.25">
      <c r="A23" s="337" t="s">
        <v>11</v>
      </c>
      <c r="B23" s="334">
        <f>C15</f>
        <v>0</v>
      </c>
      <c r="C23" s="334">
        <f>F15</f>
        <v>0</v>
      </c>
      <c r="D23" s="99">
        <f>IF(C23=0,0,E23/B23)</f>
        <v>0</v>
      </c>
      <c r="E23" s="338">
        <f>IF(C23=0,0,IF(F15&lt;&gt;ROUND(C23,0),"check camp days",IF(C15&lt;&gt;ROUND(B23,0),"check NET MBF",'CampMobe&amp;DailyCosts'!D20+'CampMobe&amp;DailyCosts'!E20)))</f>
        <v>0</v>
      </c>
      <c r="F23" s="339"/>
    </row>
    <row r="24" spans="1:6" ht="15.75" thickBot="1" x14ac:dyDescent="0.25">
      <c r="A24" s="95"/>
      <c r="B24" s="95"/>
      <c r="C24" s="95"/>
      <c r="D24" s="100">
        <f>IF(B22+B23=0,0,E24/(B22+B23))</f>
        <v>0</v>
      </c>
      <c r="E24" s="340">
        <f>IF(E22="need barge dist",0,IF(E22+E23=0,0,E22+E23))</f>
        <v>0</v>
      </c>
      <c r="F24" s="341" t="s">
        <v>323</v>
      </c>
    </row>
    <row r="25" spans="1:6" ht="14.25" x14ac:dyDescent="0.2">
      <c r="A25" s="95"/>
      <c r="B25" s="95"/>
      <c r="C25" s="95"/>
      <c r="D25" s="95"/>
      <c r="E25" s="95"/>
      <c r="F25" s="95"/>
    </row>
    <row r="26" spans="1:6" ht="14.25" x14ac:dyDescent="0.2">
      <c r="A26" s="95"/>
      <c r="B26" s="95"/>
      <c r="C26" s="95"/>
      <c r="D26" s="95"/>
      <c r="E26" s="95"/>
      <c r="F26" s="95"/>
    </row>
    <row r="27" spans="1:6" ht="14.25" x14ac:dyDescent="0.2">
      <c r="A27" s="95"/>
      <c r="B27" s="95"/>
      <c r="C27" s="95"/>
      <c r="D27" s="95"/>
      <c r="E27" s="95"/>
      <c r="F27" s="95"/>
    </row>
  </sheetData>
  <sheetProtection algorithmName="SHA-512" hashValue="lYzZ7T3y8ppRQk3oJnnBA8MCyoMfdOmD7D4h5J5yo/LeLqghZyTrKknrirQB/1Bc3ZBQ55JzS5N2xd18A8VBAw==" saltValue="zQaSKHyZj0DJ6+zHSs2hVw==" spinCount="100000" sheet="1"/>
  <mergeCells count="1">
    <mergeCell ref="E7:F7"/>
  </mergeCells>
  <printOptions gridLines="1"/>
  <pageMargins left="0.45" right="0.45" top="0.75" bottom="0.75" header="0.51180555555555551" footer="0.51180555555555551"/>
  <pageSetup paperSize="3"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droplist!$D$2:$D$3</xm:f>
          </x14:formula1>
          <xm:sqref>B18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CC"/>
    <pageSetUpPr fitToPage="1"/>
  </sheetPr>
  <dimension ref="A1:L25"/>
  <sheetViews>
    <sheetView zoomScale="90" zoomScaleNormal="90" workbookViewId="0">
      <selection activeCell="B7" sqref="B7"/>
    </sheetView>
  </sheetViews>
  <sheetFormatPr defaultColWidth="8.7109375" defaultRowHeight="12.75" x14ac:dyDescent="0.2"/>
  <cols>
    <col min="1" max="1" width="27.7109375" style="2" customWidth="1"/>
    <col min="2" max="2" width="11.28515625" style="2" customWidth="1"/>
    <col min="3" max="3" width="16" style="2" customWidth="1"/>
    <col min="4" max="4" width="18.28515625" style="2" customWidth="1"/>
    <col min="5" max="5" width="15" style="2" customWidth="1"/>
    <col min="6" max="6" width="28" style="2" customWidth="1"/>
    <col min="7" max="7" width="20.7109375" style="2" customWidth="1"/>
    <col min="8" max="8" width="22.28515625" style="2" customWidth="1"/>
    <col min="9" max="9" width="15.28515625" style="2" customWidth="1"/>
    <col min="10" max="10" width="20" style="2" customWidth="1"/>
    <col min="11" max="11" width="21" style="2" customWidth="1"/>
    <col min="12" max="12" width="23.7109375" style="2" customWidth="1"/>
    <col min="13" max="13" width="8.7109375" style="2" customWidth="1"/>
    <col min="14" max="16384" width="8.7109375" style="2"/>
  </cols>
  <sheetData>
    <row r="1" spans="1:12" ht="18" x14ac:dyDescent="0.25">
      <c r="A1" s="3" t="s">
        <v>34</v>
      </c>
      <c r="B1" s="3"/>
      <c r="C1" s="53"/>
      <c r="G1" s="265">
        <v>45968</v>
      </c>
      <c r="I1" s="54"/>
      <c r="J1" s="54"/>
    </row>
    <row r="2" spans="1:12" ht="14.25" x14ac:dyDescent="0.2">
      <c r="A2" s="180" t="s">
        <v>557</v>
      </c>
      <c r="B2" s="180"/>
      <c r="C2" s="180"/>
      <c r="D2" s="180"/>
      <c r="E2" s="180"/>
      <c r="F2" s="180"/>
    </row>
    <row r="3" spans="1:12" ht="14.25" x14ac:dyDescent="0.2">
      <c r="A3" s="180" t="s">
        <v>35</v>
      </c>
      <c r="B3" s="180"/>
      <c r="C3" s="180"/>
      <c r="D3" s="180"/>
      <c r="E3" s="180"/>
      <c r="F3" s="180"/>
    </row>
    <row r="4" spans="1:12" ht="14.25" x14ac:dyDescent="0.2">
      <c r="A4" s="180"/>
      <c r="B4" s="180"/>
      <c r="C4" s="180"/>
      <c r="D4" s="180"/>
      <c r="E4" s="180"/>
      <c r="F4" s="180"/>
    </row>
    <row r="5" spans="1:12" ht="80.650000000000006" customHeight="1" x14ac:dyDescent="0.2">
      <c r="A5" s="357" t="s">
        <v>468</v>
      </c>
      <c r="B5" s="358" t="s">
        <v>507</v>
      </c>
      <c r="C5" s="358" t="s">
        <v>459</v>
      </c>
      <c r="D5" s="358" t="s">
        <v>36</v>
      </c>
      <c r="E5" s="358" t="s">
        <v>37</v>
      </c>
      <c r="F5" s="358" t="s">
        <v>460</v>
      </c>
      <c r="G5" s="359" t="s">
        <v>38</v>
      </c>
      <c r="H5" s="356"/>
    </row>
    <row r="6" spans="1:12" ht="64.900000000000006" customHeight="1" x14ac:dyDescent="0.2">
      <c r="A6" s="267" t="s">
        <v>559</v>
      </c>
      <c r="B6" s="268" t="s">
        <v>506</v>
      </c>
      <c r="C6" s="266" t="s">
        <v>505</v>
      </c>
      <c r="D6" s="266" t="s">
        <v>509</v>
      </c>
      <c r="E6" s="266" t="s">
        <v>4</v>
      </c>
      <c r="F6" s="349" t="s">
        <v>461</v>
      </c>
      <c r="G6" s="350" t="s">
        <v>508</v>
      </c>
      <c r="H6" s="347"/>
    </row>
    <row r="7" spans="1:12" ht="27" customHeight="1" x14ac:dyDescent="0.25">
      <c r="A7" s="360"/>
      <c r="B7" s="275"/>
      <c r="C7" s="361"/>
      <c r="D7" s="362">
        <f>IF(B7="OG",750,IF(B7="YG",650,700))</f>
        <v>700</v>
      </c>
      <c r="E7" s="362">
        <f>C7/D7</f>
        <v>0</v>
      </c>
      <c r="F7" s="363"/>
      <c r="G7" s="469">
        <f>E7*F7*30*117</f>
        <v>0</v>
      </c>
    </row>
    <row r="10" spans="1:12" ht="72" customHeight="1" x14ac:dyDescent="0.2">
      <c r="A10" s="364" t="s">
        <v>558</v>
      </c>
      <c r="B10" s="358" t="s">
        <v>458</v>
      </c>
      <c r="C10" s="358" t="s">
        <v>462</v>
      </c>
      <c r="D10" s="358" t="s">
        <v>36</v>
      </c>
      <c r="E10" s="358" t="s">
        <v>37</v>
      </c>
      <c r="F10" s="358" t="s">
        <v>561</v>
      </c>
      <c r="G10" s="358" t="s">
        <v>463</v>
      </c>
      <c r="H10" s="365" t="s">
        <v>466</v>
      </c>
      <c r="I10" s="365" t="s">
        <v>464</v>
      </c>
      <c r="J10" s="366" t="s">
        <v>364</v>
      </c>
      <c r="K10" s="354" t="s">
        <v>465</v>
      </c>
      <c r="L10" s="180"/>
    </row>
    <row r="11" spans="1:12" ht="73.150000000000006" customHeight="1" x14ac:dyDescent="0.2">
      <c r="A11" s="267" t="s">
        <v>560</v>
      </c>
      <c r="B11" s="272" t="s">
        <v>412</v>
      </c>
      <c r="C11" s="351" t="s">
        <v>497</v>
      </c>
      <c r="D11" s="271" t="s">
        <v>467</v>
      </c>
      <c r="E11" s="269" t="s">
        <v>4</v>
      </c>
      <c r="F11" s="352" t="s">
        <v>531</v>
      </c>
      <c r="G11" s="352" t="s">
        <v>365</v>
      </c>
      <c r="H11" s="271" t="s">
        <v>40</v>
      </c>
      <c r="I11" s="273" t="s">
        <v>40</v>
      </c>
      <c r="J11" s="353" t="s">
        <v>366</v>
      </c>
      <c r="K11" s="274" t="s">
        <v>411</v>
      </c>
      <c r="L11" s="383" t="s">
        <v>551</v>
      </c>
    </row>
    <row r="12" spans="1:12" ht="27.4" customHeight="1" x14ac:dyDescent="0.25">
      <c r="A12" s="367"/>
      <c r="B12" s="270"/>
      <c r="C12" s="361"/>
      <c r="D12" s="362">
        <f>IF(B12="OG",750,IF(B12="YG",650,700))</f>
        <v>700</v>
      </c>
      <c r="E12" s="362">
        <f>C12/D12</f>
        <v>0</v>
      </c>
      <c r="F12" s="470">
        <f>ROUNDUP(IF(B12="OG",C12/5000,IF(B12="YG",C12/4000,C12/4500)),0)</f>
        <v>0</v>
      </c>
      <c r="G12" s="368"/>
      <c r="H12" s="468">
        <f>IF(G12=0,0,F12*30*G12+2*117*30)</f>
        <v>0</v>
      </c>
      <c r="I12" s="369">
        <f>30*247.37*(E12+F12*2)</f>
        <v>0</v>
      </c>
      <c r="J12" s="370"/>
      <c r="K12" s="355">
        <f>IF(AND(C12&gt;0,J12=0),"need more info",IF(J12="No",H12+I12,((H12+I12)*(5/30))))</f>
        <v>0</v>
      </c>
      <c r="L12" s="348"/>
    </row>
    <row r="13" spans="1:12" x14ac:dyDescent="0.2">
      <c r="C13" s="150"/>
    </row>
    <row r="14" spans="1:12" x14ac:dyDescent="0.2">
      <c r="D14" s="8"/>
      <c r="K14" s="149"/>
    </row>
    <row r="16" spans="1:12" x14ac:dyDescent="0.2">
      <c r="D16" s="52"/>
    </row>
    <row r="25" spans="4:6" x14ac:dyDescent="0.2">
      <c r="D25" s="48"/>
      <c r="E25" s="48"/>
      <c r="F25" s="48"/>
    </row>
  </sheetData>
  <sheetProtection algorithmName="SHA-512" hashValue="j/f41IO8KNY6qmHdVkaT8lfxkiJCNioy7oADDVUJzFKW+Fnfxyfb/YlpjdkcY+1ZPIg2QK0iX2SfYZsYNbeLfA==" saltValue="ZUBw7VehGCGivVznfGr/fg==" spinCount="100000" sheet="1"/>
  <dataValidations count="1">
    <dataValidation type="decimal" allowBlank="1" showInputMessage="1" showErrorMessage="1" error="not applicable if crew commute round trip is less than 1 hr" prompt="1.0 or more hrs_x000a_" sqref="F7" xr:uid="{00000000-0002-0000-0300-000000000000}">
      <formula1>1</formula1>
      <formula2>6</formula2>
    </dataValidation>
  </dataValidations>
  <pageMargins left="0.45" right="0.45" top="0.75" bottom="0.75" header="0.51180555555555596" footer="0.51180555555555596"/>
  <pageSetup paperSize="3" scale="97" firstPageNumber="0"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Select either &quot;Yes&quot; or &quot;No&quot;" promptTitle="Ketchikan export port?" prompt="Select Yes or No" xr:uid="{00000000-0002-0000-0300-000001000000}">
          <x14:formula1>
            <xm:f>droplist!$D$2:$D$3</xm:f>
          </x14:formula1>
          <xm:sqref>J12</xm:sqref>
        </x14:dataValidation>
        <x14:dataValidation type="list" allowBlank="1" showInputMessage="1" showErrorMessage="1" error="Please select from list." xr:uid="{00000000-0002-0000-0300-000002000000}">
          <x14:formula1>
            <xm:f>droplist!$A$2:$A$4</xm:f>
          </x14:formula1>
          <xm:sqref>B12</xm:sqref>
        </x14:dataValidation>
        <x14:dataValidation type="list" showInputMessage="1" showErrorMessage="1" error="Please select from list." xr:uid="{00000000-0002-0000-0300-000003000000}">
          <x14:formula1>
            <xm:f>droplist!$A$2:$A$4</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55"/>
  <sheetViews>
    <sheetView zoomScale="90" zoomScaleNormal="90" workbookViewId="0">
      <selection activeCell="A100" sqref="A100"/>
    </sheetView>
  </sheetViews>
  <sheetFormatPr defaultColWidth="11.28515625" defaultRowHeight="12.75" x14ac:dyDescent="0.2"/>
  <cols>
    <col min="1" max="13" width="14.28515625" style="57" customWidth="1"/>
    <col min="14" max="16384" width="11.28515625" style="57"/>
  </cols>
  <sheetData>
    <row r="1" spans="1:13" ht="18.75" x14ac:dyDescent="0.3">
      <c r="A1" s="433" t="s">
        <v>451</v>
      </c>
      <c r="B1" s="434"/>
      <c r="C1" s="434"/>
      <c r="D1" s="434"/>
      <c r="E1" s="434"/>
      <c r="F1" s="435"/>
      <c r="G1" s="435"/>
      <c r="K1" s="165" t="s">
        <v>574</v>
      </c>
      <c r="M1" s="56"/>
    </row>
    <row r="2" spans="1:13" ht="13.5" thickBot="1" x14ac:dyDescent="0.25">
      <c r="A2" s="56"/>
      <c r="B2" s="56"/>
      <c r="C2" s="56"/>
      <c r="D2" s="56"/>
      <c r="E2" s="56"/>
      <c r="H2" s="60"/>
      <c r="J2" s="56"/>
      <c r="K2" s="56"/>
      <c r="M2" s="56"/>
    </row>
    <row r="3" spans="1:13" ht="14.25" x14ac:dyDescent="0.2">
      <c r="A3" s="436" t="s">
        <v>54</v>
      </c>
      <c r="B3" s="437"/>
      <c r="C3" s="437"/>
      <c r="D3" s="437"/>
      <c r="E3" s="437"/>
      <c r="F3" s="438"/>
      <c r="G3" s="438"/>
      <c r="H3" s="438"/>
      <c r="I3" s="437"/>
      <c r="J3" s="437"/>
      <c r="K3" s="437"/>
      <c r="L3" s="437"/>
      <c r="M3" s="439"/>
    </row>
    <row r="4" spans="1:13" ht="14.25" x14ac:dyDescent="0.2">
      <c r="A4" s="440" t="s">
        <v>55</v>
      </c>
      <c r="B4" s="441"/>
      <c r="C4" s="441"/>
      <c r="D4" s="441"/>
      <c r="E4" s="441"/>
      <c r="F4" s="442"/>
      <c r="G4" s="442"/>
      <c r="H4" s="442"/>
      <c r="I4" s="441"/>
      <c r="J4" s="441"/>
      <c r="K4" s="441"/>
      <c r="L4" s="442"/>
      <c r="M4" s="443"/>
    </row>
    <row r="5" spans="1:13" ht="14.25" x14ac:dyDescent="0.2">
      <c r="A5" s="444" t="s">
        <v>56</v>
      </c>
      <c r="B5" s="445"/>
      <c r="C5" s="445"/>
      <c r="D5" s="445"/>
      <c r="E5" s="445"/>
      <c r="F5" s="445"/>
      <c r="G5" s="445"/>
      <c r="H5" s="445"/>
      <c r="I5" s="441"/>
      <c r="J5" s="441"/>
      <c r="K5" s="441"/>
      <c r="L5" s="446"/>
      <c r="M5" s="443"/>
    </row>
    <row r="6" spans="1:13" ht="14.25" x14ac:dyDescent="0.2">
      <c r="A6" s="447" t="s">
        <v>552</v>
      </c>
      <c r="B6" s="445"/>
      <c r="C6" s="445"/>
      <c r="D6" s="445"/>
      <c r="E6" s="445"/>
      <c r="F6" s="445"/>
      <c r="G6" s="445"/>
      <c r="H6" s="445"/>
      <c r="I6" s="441"/>
      <c r="J6" s="441"/>
      <c r="K6" s="441"/>
      <c r="L6" s="446"/>
      <c r="M6" s="443"/>
    </row>
    <row r="7" spans="1:13" ht="14.25" x14ac:dyDescent="0.2">
      <c r="A7" s="448"/>
      <c r="B7" s="449"/>
      <c r="C7" s="449"/>
      <c r="D7" s="449"/>
      <c r="E7" s="449"/>
      <c r="F7" s="450"/>
      <c r="G7" s="450"/>
      <c r="H7" s="442"/>
      <c r="I7" s="442"/>
      <c r="J7" s="442"/>
      <c r="K7" s="442"/>
      <c r="L7" s="442"/>
      <c r="M7" s="443"/>
    </row>
    <row r="8" spans="1:13" ht="15" x14ac:dyDescent="0.25">
      <c r="A8" s="440" t="s">
        <v>442</v>
      </c>
      <c r="B8" s="441"/>
      <c r="C8" s="441"/>
      <c r="D8" s="441"/>
      <c r="E8" s="441"/>
      <c r="F8" s="442"/>
      <c r="G8" s="442"/>
      <c r="H8" s="442"/>
      <c r="I8" s="441"/>
      <c r="J8" s="441"/>
      <c r="K8" s="441"/>
      <c r="L8" s="442"/>
      <c r="M8" s="443"/>
    </row>
    <row r="9" spans="1:13" ht="15" x14ac:dyDescent="0.25">
      <c r="A9" s="451" t="s">
        <v>57</v>
      </c>
      <c r="B9" s="441"/>
      <c r="C9" s="441"/>
      <c r="D9" s="441"/>
      <c r="E9" s="441"/>
      <c r="F9" s="442"/>
      <c r="G9" s="442"/>
      <c r="H9" s="442"/>
      <c r="I9" s="441"/>
      <c r="J9" s="441"/>
      <c r="K9" s="441"/>
      <c r="L9" s="442"/>
      <c r="M9" s="443"/>
    </row>
    <row r="10" spans="1:13" ht="15" x14ac:dyDescent="0.25">
      <c r="A10" s="440"/>
      <c r="B10" s="452" t="s">
        <v>58</v>
      </c>
      <c r="C10" s="452" t="s">
        <v>59</v>
      </c>
      <c r="D10" s="442"/>
      <c r="E10" s="442"/>
      <c r="F10" s="442"/>
      <c r="G10" s="442"/>
      <c r="H10" s="442"/>
      <c r="I10" s="442"/>
      <c r="J10" s="441"/>
      <c r="K10" s="441"/>
      <c r="L10" s="442"/>
      <c r="M10" s="443"/>
    </row>
    <row r="11" spans="1:13" ht="14.25" x14ac:dyDescent="0.2">
      <c r="A11" s="440"/>
      <c r="B11" s="442" t="s">
        <v>60</v>
      </c>
      <c r="C11" s="442"/>
      <c r="D11" s="442"/>
      <c r="E11" s="442"/>
      <c r="F11" s="442"/>
      <c r="G11" s="442"/>
      <c r="H11" s="442"/>
      <c r="I11" s="442"/>
      <c r="J11" s="441"/>
      <c r="K11" s="441"/>
      <c r="L11" s="442"/>
      <c r="M11" s="443"/>
    </row>
    <row r="12" spans="1:13" ht="14.25" x14ac:dyDescent="0.2">
      <c r="A12" s="440"/>
      <c r="B12" s="442" t="s">
        <v>61</v>
      </c>
      <c r="C12" s="442"/>
      <c r="D12" s="442"/>
      <c r="E12" s="442"/>
      <c r="F12" s="442"/>
      <c r="G12" s="442"/>
      <c r="H12" s="442"/>
      <c r="I12" s="442"/>
      <c r="J12" s="441"/>
      <c r="K12" s="441"/>
      <c r="L12" s="442"/>
      <c r="M12" s="443"/>
    </row>
    <row r="13" spans="1:13" ht="15" x14ac:dyDescent="0.25">
      <c r="A13" s="440"/>
      <c r="B13" s="442" t="s">
        <v>443</v>
      </c>
      <c r="C13" s="442"/>
      <c r="D13" s="442"/>
      <c r="E13" s="442"/>
      <c r="F13" s="442"/>
      <c r="G13" s="442"/>
      <c r="H13" s="442"/>
      <c r="I13" s="442"/>
      <c r="J13" s="441"/>
      <c r="K13" s="441"/>
      <c r="L13" s="442"/>
      <c r="M13" s="443"/>
    </row>
    <row r="14" spans="1:13" ht="15" x14ac:dyDescent="0.25">
      <c r="A14" s="440"/>
      <c r="B14" s="452" t="s">
        <v>62</v>
      </c>
      <c r="C14" s="442"/>
      <c r="D14" s="442"/>
      <c r="E14" s="442"/>
      <c r="F14" s="442"/>
      <c r="G14" s="442"/>
      <c r="H14" s="442"/>
      <c r="I14" s="442"/>
      <c r="J14" s="441"/>
      <c r="K14" s="441"/>
      <c r="L14" s="442"/>
      <c r="M14" s="443"/>
    </row>
    <row r="15" spans="1:13" ht="15" x14ac:dyDescent="0.25">
      <c r="A15" s="440"/>
      <c r="B15" s="442" t="s">
        <v>541</v>
      </c>
      <c r="C15" s="442"/>
      <c r="D15" s="442"/>
      <c r="E15" s="442"/>
      <c r="F15" s="442"/>
      <c r="G15" s="442"/>
      <c r="H15" s="442"/>
      <c r="I15" s="442"/>
      <c r="J15" s="442"/>
      <c r="K15" s="442"/>
      <c r="L15" s="442"/>
      <c r="M15" s="443"/>
    </row>
    <row r="16" spans="1:13" ht="15" x14ac:dyDescent="0.25">
      <c r="A16" s="440"/>
      <c r="B16" s="452" t="s">
        <v>63</v>
      </c>
      <c r="C16" s="442"/>
      <c r="D16" s="442"/>
      <c r="E16" s="442"/>
      <c r="F16" s="442"/>
      <c r="G16" s="442"/>
      <c r="H16" s="442"/>
      <c r="I16" s="442"/>
      <c r="J16" s="442"/>
      <c r="K16" s="442"/>
      <c r="L16" s="442"/>
      <c r="M16" s="443"/>
    </row>
    <row r="17" spans="1:13" ht="14.25" x14ac:dyDescent="0.2">
      <c r="A17" s="440"/>
      <c r="B17" s="442" t="s">
        <v>64</v>
      </c>
      <c r="C17" s="442"/>
      <c r="D17" s="442"/>
      <c r="E17" s="442"/>
      <c r="F17" s="442"/>
      <c r="G17" s="442"/>
      <c r="H17" s="442"/>
      <c r="I17" s="442"/>
      <c r="J17" s="442"/>
      <c r="K17" s="442"/>
      <c r="L17" s="442"/>
      <c r="M17" s="443"/>
    </row>
    <row r="18" spans="1:13" ht="14.25" x14ac:dyDescent="0.2">
      <c r="A18" s="440"/>
      <c r="B18" s="442" t="s">
        <v>65</v>
      </c>
      <c r="C18" s="442"/>
      <c r="D18" s="442"/>
      <c r="E18" s="442"/>
      <c r="F18" s="442"/>
      <c r="G18" s="442"/>
      <c r="H18" s="442"/>
      <c r="I18" s="442"/>
      <c r="J18" s="442"/>
      <c r="K18" s="442"/>
      <c r="L18" s="442"/>
      <c r="M18" s="443"/>
    </row>
    <row r="19" spans="1:13" ht="14.25" x14ac:dyDescent="0.2">
      <c r="A19" s="440"/>
      <c r="B19" s="442" t="s">
        <v>66</v>
      </c>
      <c r="C19" s="442"/>
      <c r="D19" s="442"/>
      <c r="E19" s="442"/>
      <c r="F19" s="442"/>
      <c r="G19" s="442"/>
      <c r="H19" s="442"/>
      <c r="I19" s="442"/>
      <c r="J19" s="442"/>
      <c r="K19" s="442"/>
      <c r="L19" s="442"/>
      <c r="M19" s="443"/>
    </row>
    <row r="20" spans="1:13" ht="15" x14ac:dyDescent="0.25">
      <c r="A20" s="440"/>
      <c r="B20" s="452" t="s">
        <v>67</v>
      </c>
      <c r="C20" s="442"/>
      <c r="D20" s="442"/>
      <c r="E20" s="442"/>
      <c r="F20" s="442"/>
      <c r="G20" s="442"/>
      <c r="H20" s="442"/>
      <c r="I20" s="442"/>
      <c r="J20" s="442"/>
      <c r="K20" s="442"/>
      <c r="L20" s="442"/>
      <c r="M20" s="443"/>
    </row>
    <row r="21" spans="1:13" ht="14.25" x14ac:dyDescent="0.2">
      <c r="A21" s="440"/>
      <c r="B21" s="442" t="s">
        <v>68</v>
      </c>
      <c r="C21" s="442"/>
      <c r="D21" s="442"/>
      <c r="E21" s="442"/>
      <c r="F21" s="442"/>
      <c r="G21" s="442"/>
      <c r="H21" s="442"/>
      <c r="I21" s="442"/>
      <c r="J21" s="442"/>
      <c r="K21" s="442"/>
      <c r="L21" s="442"/>
      <c r="M21" s="443"/>
    </row>
    <row r="22" spans="1:13" ht="14.25" x14ac:dyDescent="0.2">
      <c r="A22" s="440"/>
      <c r="B22" s="442" t="s">
        <v>69</v>
      </c>
      <c r="C22" s="442"/>
      <c r="D22" s="442"/>
      <c r="E22" s="442"/>
      <c r="F22" s="442"/>
      <c r="G22" s="442"/>
      <c r="H22" s="442"/>
      <c r="I22" s="442"/>
      <c r="J22" s="442"/>
      <c r="K22" s="442"/>
      <c r="L22" s="442"/>
      <c r="M22" s="443"/>
    </row>
    <row r="23" spans="1:13" ht="14.25" x14ac:dyDescent="0.2">
      <c r="A23" s="440"/>
      <c r="B23" s="442" t="s">
        <v>70</v>
      </c>
      <c r="C23" s="442"/>
      <c r="D23" s="442"/>
      <c r="E23" s="442"/>
      <c r="F23" s="442"/>
      <c r="G23" s="442"/>
      <c r="H23" s="442"/>
      <c r="I23" s="442"/>
      <c r="J23" s="442"/>
      <c r="K23" s="442"/>
      <c r="L23" s="442"/>
      <c r="M23" s="443"/>
    </row>
    <row r="24" spans="1:13" ht="14.25" x14ac:dyDescent="0.2">
      <c r="A24" s="440"/>
      <c r="B24" s="442" t="s">
        <v>71</v>
      </c>
      <c r="C24" s="442"/>
      <c r="D24" s="442"/>
      <c r="E24" s="442"/>
      <c r="F24" s="442"/>
      <c r="G24" s="442"/>
      <c r="H24" s="442"/>
      <c r="I24" s="442"/>
      <c r="J24" s="442"/>
      <c r="K24" s="442"/>
      <c r="L24" s="442"/>
      <c r="M24" s="443"/>
    </row>
    <row r="25" spans="1:13" ht="14.25" x14ac:dyDescent="0.2">
      <c r="A25" s="440"/>
      <c r="B25" s="442"/>
      <c r="C25" s="442"/>
      <c r="D25" s="442"/>
      <c r="E25" s="442"/>
      <c r="F25" s="442"/>
      <c r="G25" s="442"/>
      <c r="H25" s="442"/>
      <c r="I25" s="442"/>
      <c r="J25" s="442"/>
      <c r="K25" s="442"/>
      <c r="L25" s="442"/>
      <c r="M25" s="443"/>
    </row>
    <row r="26" spans="1:13" ht="15" x14ac:dyDescent="0.25">
      <c r="A26" s="453" t="s">
        <v>72</v>
      </c>
      <c r="B26" s="442"/>
      <c r="C26" s="442"/>
      <c r="D26" s="442"/>
      <c r="E26" s="442"/>
      <c r="F26" s="442"/>
      <c r="G26" s="442"/>
      <c r="H26" s="442"/>
      <c r="I26" s="442"/>
      <c r="J26" s="442"/>
      <c r="K26" s="442"/>
      <c r="L26" s="442"/>
      <c r="M26" s="443"/>
    </row>
    <row r="27" spans="1:13" ht="14.25" x14ac:dyDescent="0.2">
      <c r="A27" s="440" t="s">
        <v>73</v>
      </c>
      <c r="B27" s="442"/>
      <c r="C27" s="442"/>
      <c r="D27" s="442"/>
      <c r="E27" s="442"/>
      <c r="F27" s="442"/>
      <c r="G27" s="442"/>
      <c r="H27" s="442"/>
      <c r="I27" s="442"/>
      <c r="J27" s="442"/>
      <c r="K27" s="442"/>
      <c r="L27" s="442"/>
      <c r="M27" s="443"/>
    </row>
    <row r="28" spans="1:13" ht="14.25" x14ac:dyDescent="0.2">
      <c r="A28" s="440" t="s">
        <v>74</v>
      </c>
      <c r="B28" s="442"/>
      <c r="C28" s="442"/>
      <c r="D28" s="442"/>
      <c r="E28" s="442"/>
      <c r="F28" s="442"/>
      <c r="G28" s="442"/>
      <c r="H28" s="442"/>
      <c r="I28" s="442"/>
      <c r="J28" s="442"/>
      <c r="K28" s="442"/>
      <c r="L28" s="442"/>
      <c r="M28" s="443"/>
    </row>
    <row r="29" spans="1:13" ht="15" x14ac:dyDescent="0.25">
      <c r="A29" s="440" t="s">
        <v>449</v>
      </c>
      <c r="B29" s="442"/>
      <c r="C29" s="442"/>
      <c r="D29" s="442"/>
      <c r="E29" s="442"/>
      <c r="F29" s="442"/>
      <c r="G29" s="442"/>
      <c r="H29" s="442"/>
      <c r="I29" s="442"/>
      <c r="J29" s="442"/>
      <c r="K29" s="442"/>
      <c r="L29" s="442"/>
      <c r="M29" s="443"/>
    </row>
    <row r="30" spans="1:13" ht="15.75" thickBot="1" x14ac:dyDescent="0.3">
      <c r="A30" s="454" t="s">
        <v>450</v>
      </c>
      <c r="B30" s="455"/>
      <c r="C30" s="455"/>
      <c r="D30" s="455"/>
      <c r="E30" s="455"/>
      <c r="F30" s="455"/>
      <c r="G30" s="455"/>
      <c r="H30" s="455"/>
      <c r="I30" s="455"/>
      <c r="J30" s="455"/>
      <c r="K30" s="455"/>
      <c r="L30" s="455"/>
      <c r="M30" s="456"/>
    </row>
    <row r="31" spans="1:13" ht="14.25" x14ac:dyDescent="0.2">
      <c r="A31" s="188"/>
      <c r="B31" s="188"/>
      <c r="C31" s="188"/>
      <c r="D31" s="188"/>
      <c r="E31" s="188"/>
      <c r="F31" s="188"/>
      <c r="G31" s="188"/>
      <c r="H31" s="188"/>
      <c r="I31" s="188"/>
      <c r="J31" s="188"/>
      <c r="K31" s="188"/>
      <c r="L31" s="188"/>
      <c r="M31" s="188"/>
    </row>
    <row r="32" spans="1:13" ht="14.25" x14ac:dyDescent="0.2">
      <c r="A32" s="457" t="s">
        <v>75</v>
      </c>
      <c r="B32" s="458"/>
      <c r="C32" s="458"/>
      <c r="D32" s="458"/>
      <c r="E32" s="458"/>
      <c r="F32" s="458"/>
      <c r="G32" s="458"/>
      <c r="H32" s="458"/>
      <c r="I32" s="458"/>
      <c r="J32" s="458"/>
      <c r="K32" s="458"/>
      <c r="L32" s="458"/>
      <c r="M32" s="458"/>
    </row>
    <row r="33" spans="1:13" ht="15" x14ac:dyDescent="0.25">
      <c r="A33" s="459" t="s">
        <v>444</v>
      </c>
      <c r="B33" s="458"/>
      <c r="C33" s="458"/>
      <c r="D33" s="458"/>
      <c r="E33" s="458"/>
      <c r="F33" s="458"/>
      <c r="G33" s="458"/>
      <c r="H33" s="458"/>
      <c r="I33" s="458"/>
      <c r="J33" s="458"/>
      <c r="K33" s="458"/>
      <c r="L33" s="458"/>
      <c r="M33" s="458"/>
    </row>
    <row r="34" spans="1:13" ht="15" x14ac:dyDescent="0.25">
      <c r="A34" s="459" t="s">
        <v>445</v>
      </c>
      <c r="B34" s="458"/>
      <c r="C34" s="458"/>
      <c r="D34" s="458"/>
      <c r="E34" s="458"/>
      <c r="F34" s="458"/>
      <c r="G34" s="458"/>
      <c r="H34" s="458"/>
      <c r="I34" s="458"/>
      <c r="J34" s="458"/>
      <c r="K34" s="458"/>
      <c r="L34" s="458"/>
      <c r="M34" s="458"/>
    </row>
    <row r="35" spans="1:13" ht="15" x14ac:dyDescent="0.25">
      <c r="A35" s="459" t="s">
        <v>446</v>
      </c>
      <c r="B35" s="458"/>
      <c r="C35" s="458"/>
      <c r="D35" s="458"/>
      <c r="E35" s="458"/>
      <c r="F35" s="458"/>
      <c r="G35" s="458"/>
      <c r="H35" s="458"/>
      <c r="I35" s="458"/>
      <c r="J35" s="458"/>
      <c r="K35" s="458"/>
      <c r="L35" s="458"/>
      <c r="M35" s="458"/>
    </row>
    <row r="36" spans="1:13" ht="14.25" x14ac:dyDescent="0.2">
      <c r="A36" s="458" t="s">
        <v>76</v>
      </c>
      <c r="B36" s="458"/>
      <c r="C36" s="458"/>
      <c r="D36" s="458"/>
      <c r="E36" s="458"/>
      <c r="F36" s="458"/>
      <c r="G36" s="458"/>
      <c r="H36" s="458"/>
      <c r="I36" s="458"/>
      <c r="J36" s="458"/>
      <c r="K36" s="458"/>
      <c r="L36" s="458"/>
      <c r="M36" s="458"/>
    </row>
    <row r="37" spans="1:13" ht="15" x14ac:dyDescent="0.25">
      <c r="A37" s="459" t="s">
        <v>447</v>
      </c>
      <c r="B37" s="458"/>
      <c r="C37" s="458"/>
      <c r="D37" s="458"/>
      <c r="E37" s="458"/>
      <c r="F37" s="458"/>
      <c r="G37" s="458"/>
      <c r="H37" s="458"/>
      <c r="I37" s="458"/>
      <c r="J37" s="458"/>
      <c r="K37" s="458"/>
      <c r="L37" s="458"/>
      <c r="M37" s="458"/>
    </row>
    <row r="38" spans="1:13" ht="15" x14ac:dyDescent="0.25">
      <c r="A38" s="459" t="s">
        <v>448</v>
      </c>
      <c r="B38" s="458"/>
      <c r="C38" s="458"/>
      <c r="D38" s="458"/>
      <c r="E38" s="458"/>
      <c r="F38" s="458"/>
      <c r="G38" s="458"/>
      <c r="H38" s="458"/>
      <c r="I38" s="458"/>
      <c r="J38" s="458"/>
      <c r="K38" s="458"/>
      <c r="L38" s="458"/>
      <c r="M38" s="458"/>
    </row>
    <row r="39" spans="1:13" ht="14.25" x14ac:dyDescent="0.2">
      <c r="A39" s="188"/>
      <c r="B39" s="188"/>
      <c r="C39" s="188"/>
      <c r="D39" s="188"/>
      <c r="E39" s="188"/>
      <c r="F39" s="188"/>
      <c r="G39" s="188"/>
      <c r="H39" s="188"/>
      <c r="I39" s="188"/>
      <c r="J39" s="188"/>
      <c r="K39" s="188"/>
      <c r="L39" s="188"/>
      <c r="M39" s="188"/>
    </row>
    <row r="40" spans="1:13" ht="14.25" x14ac:dyDescent="0.2">
      <c r="A40" s="460" t="s">
        <v>77</v>
      </c>
      <c r="B40" s="461"/>
      <c r="C40" s="461"/>
      <c r="D40" s="461"/>
      <c r="E40" s="461"/>
      <c r="F40" s="461"/>
      <c r="G40" s="461"/>
      <c r="H40" s="461"/>
      <c r="I40" s="461"/>
      <c r="J40" s="461"/>
      <c r="K40" s="461"/>
      <c r="L40" s="461"/>
      <c r="M40" s="461"/>
    </row>
    <row r="41" spans="1:13" ht="14.25" x14ac:dyDescent="0.2">
      <c r="A41" s="461" t="s">
        <v>278</v>
      </c>
      <c r="B41" s="461"/>
      <c r="C41" s="461"/>
      <c r="D41" s="461"/>
      <c r="E41" s="461"/>
      <c r="F41" s="461"/>
      <c r="G41" s="461"/>
      <c r="H41" s="461"/>
      <c r="I41" s="461"/>
      <c r="J41" s="461"/>
      <c r="K41" s="461"/>
      <c r="L41" s="461"/>
      <c r="M41" s="461"/>
    </row>
    <row r="42" spans="1:13" ht="14.25" x14ac:dyDescent="0.2">
      <c r="A42" s="461"/>
      <c r="B42" s="461" t="s">
        <v>78</v>
      </c>
      <c r="C42" s="461"/>
      <c r="D42" s="461"/>
      <c r="E42" s="461"/>
      <c r="F42" s="461"/>
      <c r="G42" s="461"/>
      <c r="H42" s="461"/>
      <c r="I42" s="461"/>
      <c r="J42" s="461"/>
      <c r="K42" s="461"/>
      <c r="L42" s="461"/>
      <c r="M42" s="461"/>
    </row>
    <row r="43" spans="1:13" ht="14.25" x14ac:dyDescent="0.2">
      <c r="A43" s="461"/>
      <c r="B43" s="461" t="s">
        <v>533</v>
      </c>
      <c r="C43" s="461"/>
      <c r="D43" s="461"/>
      <c r="E43" s="461"/>
      <c r="F43" s="461"/>
      <c r="G43" s="461"/>
      <c r="H43" s="461"/>
      <c r="I43" s="461"/>
      <c r="J43" s="461"/>
      <c r="K43" s="461"/>
      <c r="L43" s="461"/>
      <c r="M43" s="461"/>
    </row>
    <row r="44" spans="1:13" ht="15" x14ac:dyDescent="0.25">
      <c r="A44" s="461"/>
      <c r="B44" s="462" t="s">
        <v>532</v>
      </c>
      <c r="C44" s="461"/>
      <c r="D44" s="461"/>
      <c r="E44" s="462" t="s">
        <v>575</v>
      </c>
      <c r="F44" s="461"/>
      <c r="G44" s="461"/>
      <c r="H44" s="461"/>
      <c r="I44" s="461"/>
      <c r="J44" s="461"/>
      <c r="K44" s="461"/>
      <c r="L44" s="461"/>
      <c r="M44" s="461"/>
    </row>
    <row r="45" spans="1:13" ht="14.25" x14ac:dyDescent="0.2">
      <c r="A45" s="461" t="s">
        <v>524</v>
      </c>
      <c r="B45" s="461"/>
      <c r="C45" s="461"/>
      <c r="D45" s="461"/>
      <c r="E45" s="461"/>
      <c r="F45" s="461"/>
      <c r="G45" s="461"/>
      <c r="H45" s="461"/>
      <c r="I45" s="461"/>
      <c r="J45" s="461"/>
      <c r="K45" s="461"/>
      <c r="L45" s="461"/>
      <c r="M45" s="461"/>
    </row>
    <row r="46" spans="1:13" ht="14.25" x14ac:dyDescent="0.2">
      <c r="A46" s="461"/>
      <c r="B46" s="461" t="s">
        <v>79</v>
      </c>
      <c r="C46" s="461"/>
      <c r="D46" s="461"/>
      <c r="E46" s="461"/>
      <c r="F46" s="461"/>
      <c r="G46" s="461"/>
      <c r="H46" s="461"/>
      <c r="I46" s="461"/>
      <c r="J46" s="461"/>
      <c r="K46" s="461"/>
      <c r="L46" s="461"/>
      <c r="M46" s="461"/>
    </row>
    <row r="47" spans="1:13" ht="15" x14ac:dyDescent="0.25">
      <c r="A47" s="461"/>
      <c r="B47" s="462" t="s">
        <v>80</v>
      </c>
      <c r="C47" s="462"/>
      <c r="D47" s="461"/>
      <c r="E47" s="462" t="s">
        <v>576</v>
      </c>
      <c r="F47" s="461"/>
      <c r="G47" s="461"/>
      <c r="H47" s="461"/>
      <c r="I47" s="461"/>
      <c r="J47" s="461"/>
      <c r="K47" s="461"/>
      <c r="L47" s="461"/>
      <c r="M47" s="461"/>
    </row>
    <row r="48" spans="1:13" ht="14.25" x14ac:dyDescent="0.2">
      <c r="A48" s="461" t="s">
        <v>535</v>
      </c>
      <c r="B48" s="461"/>
      <c r="C48" s="461"/>
      <c r="D48" s="461"/>
      <c r="E48" s="461"/>
      <c r="F48" s="461"/>
      <c r="G48" s="461"/>
      <c r="H48" s="461"/>
      <c r="I48" s="461"/>
      <c r="J48" s="461"/>
      <c r="K48" s="461"/>
      <c r="L48" s="461"/>
      <c r="M48" s="461"/>
    </row>
    <row r="49" spans="1:13" ht="14.25" x14ac:dyDescent="0.2">
      <c r="A49" s="461"/>
      <c r="B49" s="461" t="s">
        <v>78</v>
      </c>
      <c r="C49" s="461"/>
      <c r="D49" s="461"/>
      <c r="E49" s="461"/>
      <c r="F49" s="461"/>
      <c r="G49" s="461"/>
      <c r="H49" s="461"/>
      <c r="I49" s="461"/>
      <c r="J49" s="461"/>
      <c r="K49" s="461"/>
      <c r="L49" s="461"/>
      <c r="M49" s="461"/>
    </row>
    <row r="50" spans="1:13" ht="14.25" x14ac:dyDescent="0.2">
      <c r="A50" s="461"/>
      <c r="B50" s="461" t="s">
        <v>534</v>
      </c>
      <c r="C50" s="461"/>
      <c r="D50" s="461"/>
      <c r="E50" s="461"/>
      <c r="F50" s="461"/>
      <c r="G50" s="461"/>
      <c r="H50" s="461"/>
      <c r="I50" s="461"/>
      <c r="J50" s="461"/>
      <c r="K50" s="461"/>
      <c r="L50" s="461"/>
      <c r="M50" s="461"/>
    </row>
    <row r="51" spans="1:13" ht="15" x14ac:dyDescent="0.25">
      <c r="A51" s="461"/>
      <c r="B51" s="462" t="s">
        <v>532</v>
      </c>
      <c r="C51" s="461"/>
      <c r="D51" s="461"/>
      <c r="E51" s="462" t="s">
        <v>577</v>
      </c>
      <c r="F51" s="461"/>
      <c r="G51" s="461"/>
      <c r="H51" s="461"/>
      <c r="I51" s="461"/>
      <c r="J51" s="461"/>
      <c r="K51" s="461"/>
      <c r="L51" s="461"/>
      <c r="M51" s="461"/>
    </row>
    <row r="52" spans="1:13" ht="14.25" x14ac:dyDescent="0.2">
      <c r="A52" s="461" t="s">
        <v>537</v>
      </c>
      <c r="B52" s="461"/>
      <c r="C52" s="461"/>
      <c r="D52" s="461"/>
      <c r="E52" s="461"/>
      <c r="F52" s="461"/>
      <c r="G52" s="461"/>
      <c r="H52" s="461"/>
      <c r="I52" s="461"/>
      <c r="J52" s="461"/>
      <c r="K52" s="461"/>
      <c r="L52" s="461"/>
      <c r="M52" s="461"/>
    </row>
    <row r="53" spans="1:13" ht="14.25" x14ac:dyDescent="0.2">
      <c r="A53" s="461"/>
      <c r="B53" s="461" t="s">
        <v>81</v>
      </c>
      <c r="C53" s="461"/>
      <c r="D53" s="461"/>
      <c r="E53" s="461"/>
      <c r="F53" s="461"/>
      <c r="G53" s="461"/>
      <c r="H53" s="461"/>
      <c r="I53" s="461"/>
      <c r="J53" s="461"/>
      <c r="K53" s="461"/>
      <c r="L53" s="461"/>
      <c r="M53" s="461"/>
    </row>
    <row r="54" spans="1:13" ht="14.25" x14ac:dyDescent="0.2">
      <c r="A54" s="461"/>
      <c r="B54" s="461" t="s">
        <v>536</v>
      </c>
      <c r="C54" s="461"/>
      <c r="D54" s="461"/>
      <c r="E54" s="461"/>
      <c r="F54" s="461"/>
      <c r="G54" s="461"/>
      <c r="H54" s="461"/>
      <c r="I54" s="461"/>
      <c r="J54" s="461"/>
      <c r="K54" s="461"/>
      <c r="L54" s="461"/>
      <c r="M54" s="461"/>
    </row>
    <row r="55" spans="1:13" ht="15" x14ac:dyDescent="0.25">
      <c r="A55" s="461"/>
      <c r="B55" s="462" t="s">
        <v>532</v>
      </c>
      <c r="C55" s="461"/>
      <c r="D55" s="461"/>
      <c r="E55" s="462" t="s">
        <v>578</v>
      </c>
      <c r="F55" s="461"/>
      <c r="G55" s="461"/>
      <c r="H55" s="461"/>
      <c r="I55" s="461"/>
      <c r="J55" s="461"/>
      <c r="K55" s="461"/>
      <c r="L55" s="461"/>
      <c r="M55" s="461"/>
    </row>
  </sheetData>
  <sheetProtection algorithmName="SHA-512" hashValue="RK0GYbJ1FVZrbvf9T1KSIxWQYmxkkNkZXWA8F1dUZytRvxl8OjrwPeJs8Ou2AXxJTfnQT+g+0wA6s1rkPZsa9Q==" saltValue="iULEHtYO4FyxvMdi9z5GGg==" spinCount="100000" sheet="1" selectLockedCells="1" selectUnlockedCells="1"/>
  <printOptions gridLines="1"/>
  <pageMargins left="0.45" right="0.45" top="0.75" bottom="0.75" header="0.51180555555555551" footer="0.51180555555555551"/>
  <pageSetup paperSize="3" scale="95"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pageSetUpPr fitToPage="1"/>
  </sheetPr>
  <dimension ref="A1:T38"/>
  <sheetViews>
    <sheetView zoomScale="90" zoomScaleNormal="90" workbookViewId="0">
      <selection activeCell="B10" sqref="B10"/>
    </sheetView>
  </sheetViews>
  <sheetFormatPr defaultColWidth="11.28515625" defaultRowHeight="12.75" x14ac:dyDescent="0.2"/>
  <cols>
    <col min="1" max="1" width="42.42578125" style="57" customWidth="1"/>
    <col min="2" max="2" width="15.5703125" style="57" customWidth="1"/>
    <col min="3" max="3" width="14.28515625" style="57" customWidth="1"/>
    <col min="4" max="4" width="14.7109375" style="57" customWidth="1"/>
    <col min="5" max="5" width="13.28515625" style="57" customWidth="1"/>
    <col min="6" max="6" width="13.5703125" style="57" customWidth="1"/>
    <col min="7" max="7" width="17.7109375" style="57" customWidth="1"/>
    <col min="8" max="8" width="11.28515625" style="57"/>
    <col min="9" max="9" width="14.28515625" style="57" customWidth="1"/>
    <col min="10" max="10" width="15.28515625" style="57" customWidth="1"/>
    <col min="11" max="11" width="14.7109375" style="57" customWidth="1"/>
    <col min="12" max="12" width="11" style="57" customWidth="1"/>
    <col min="13" max="13" width="15.28515625" style="57" customWidth="1"/>
    <col min="14" max="16384" width="11.28515625" style="57"/>
  </cols>
  <sheetData>
    <row r="1" spans="1:12" ht="15.75" x14ac:dyDescent="0.25">
      <c r="A1" s="55" t="s">
        <v>255</v>
      </c>
      <c r="B1" s="56"/>
      <c r="C1" s="56"/>
      <c r="D1" s="56"/>
      <c r="G1" s="189">
        <v>45968</v>
      </c>
    </row>
    <row r="2" spans="1:12" ht="14.25" x14ac:dyDescent="0.2">
      <c r="A2" s="165" t="s">
        <v>514</v>
      </c>
      <c r="B2" s="56"/>
      <c r="C2" s="64"/>
      <c r="D2" s="63"/>
      <c r="E2" s="63"/>
      <c r="F2" s="58"/>
      <c r="G2" s="56"/>
      <c r="J2" s="2"/>
      <c r="K2" s="2"/>
    </row>
    <row r="3" spans="1:12" ht="14.25" x14ac:dyDescent="0.2">
      <c r="A3" s="166" t="s">
        <v>544</v>
      </c>
      <c r="K3" s="2"/>
    </row>
    <row r="4" spans="1:12" ht="14.25" x14ac:dyDescent="0.2">
      <c r="A4" s="166" t="s">
        <v>545</v>
      </c>
      <c r="K4" s="2"/>
    </row>
    <row r="5" spans="1:12" ht="15" x14ac:dyDescent="0.25">
      <c r="A5" s="167" t="s">
        <v>254</v>
      </c>
      <c r="D5" s="2"/>
      <c r="E5" s="2"/>
      <c r="J5" s="2"/>
      <c r="K5" s="2"/>
    </row>
    <row r="6" spans="1:12" ht="14.25" x14ac:dyDescent="0.2">
      <c r="A6" s="59"/>
      <c r="C6" s="60"/>
      <c r="D6" s="2"/>
      <c r="F6" s="105"/>
      <c r="G6" s="165" t="s">
        <v>13</v>
      </c>
      <c r="H6" s="65"/>
      <c r="I6" s="165" t="s">
        <v>82</v>
      </c>
      <c r="K6" s="2"/>
    </row>
    <row r="7" spans="1:12" ht="14.25" x14ac:dyDescent="0.2">
      <c r="A7" s="59"/>
      <c r="F7" s="106"/>
      <c r="G7" s="165" t="s">
        <v>14</v>
      </c>
      <c r="H7" s="66"/>
      <c r="I7" s="165" t="s">
        <v>83</v>
      </c>
    </row>
    <row r="8" spans="1:12" ht="15" x14ac:dyDescent="0.25">
      <c r="A8" s="168" t="s">
        <v>332</v>
      </c>
      <c r="B8" s="61"/>
      <c r="C8" s="61"/>
      <c r="E8" s="2"/>
      <c r="G8" s="62"/>
    </row>
    <row r="9" spans="1:12" ht="15" x14ac:dyDescent="0.25">
      <c r="A9" s="169" t="s">
        <v>84</v>
      </c>
      <c r="B9" s="174" t="s">
        <v>85</v>
      </c>
      <c r="C9" s="175" t="s">
        <v>86</v>
      </c>
      <c r="D9" s="176" t="s">
        <v>553</v>
      </c>
      <c r="E9" s="177"/>
      <c r="F9" s="177"/>
      <c r="G9" s="177"/>
      <c r="H9" s="178" t="s">
        <v>83</v>
      </c>
      <c r="I9" s="179"/>
      <c r="J9" s="179"/>
      <c r="K9" s="180"/>
    </row>
    <row r="10" spans="1:12" ht="14.25" x14ac:dyDescent="0.2">
      <c r="A10" s="170" t="s">
        <v>276</v>
      </c>
      <c r="B10" s="181"/>
      <c r="C10" s="182"/>
      <c r="D10" s="177" t="s">
        <v>347</v>
      </c>
      <c r="E10" s="177"/>
      <c r="F10" s="177"/>
      <c r="G10" s="177"/>
      <c r="H10" s="179"/>
      <c r="I10" s="179"/>
      <c r="J10" s="179"/>
      <c r="K10" s="180"/>
    </row>
    <row r="11" spans="1:12" ht="14.25" x14ac:dyDescent="0.2">
      <c r="A11" s="171" t="s">
        <v>345</v>
      </c>
      <c r="B11" s="183"/>
      <c r="C11" s="184"/>
      <c r="D11" s="177" t="s">
        <v>346</v>
      </c>
      <c r="E11" s="177"/>
      <c r="F11" s="177"/>
      <c r="G11" s="177"/>
      <c r="H11" s="179" t="s">
        <v>408</v>
      </c>
      <c r="I11" s="179"/>
      <c r="J11" s="179"/>
      <c r="K11" s="180"/>
    </row>
    <row r="12" spans="1:12" ht="14.25" x14ac:dyDescent="0.2">
      <c r="A12" s="172" t="s">
        <v>87</v>
      </c>
      <c r="B12" s="185"/>
      <c r="C12" s="186"/>
      <c r="D12" s="177" t="s">
        <v>93</v>
      </c>
      <c r="E12" s="177"/>
      <c r="F12" s="177"/>
      <c r="G12" s="177"/>
      <c r="H12" s="179"/>
      <c r="I12" s="179"/>
      <c r="J12" s="179"/>
      <c r="K12" s="180"/>
    </row>
    <row r="13" spans="1:12" ht="30" x14ac:dyDescent="0.25">
      <c r="A13" s="173" t="s">
        <v>515</v>
      </c>
      <c r="B13" s="187">
        <f>IF(B12=0,0,(1+'1) YG Cost Inputs'!D46)*('Daily Side Costs'!F72/(251*B11)+'Daily Side Costs'!F79*IF(B12="Under 350",250,B12)/(250*(152.9*B11-78.74*B11*(1.72*B11+0.08)))+'Daily Side Costs'!F64/(528*B10)+'Daily Side Costs'!F86/79))</f>
        <v>0</v>
      </c>
      <c r="C13" s="187">
        <f>IF(C12=0,0,(1+'1) YG Cost Inputs'!D46)*('Daily Side Costs'!F72/(251*C11)+'Daily Side Costs'!F79*1.176*IF(C12="Under 350",250,C12)/(250*(152.9*C11-78.74*C11*(1.72*C11+0.08)))+'Daily Side Costs'!F64/(528*C10)+'Daily Side Costs'!F86/79))</f>
        <v>0</v>
      </c>
      <c r="D13" s="188"/>
      <c r="E13" s="188"/>
      <c r="F13" s="188"/>
      <c r="G13" s="188"/>
      <c r="H13" s="180"/>
      <c r="I13" s="180"/>
      <c r="J13" s="180"/>
      <c r="K13" s="180"/>
    </row>
    <row r="14" spans="1:12" ht="15" x14ac:dyDescent="0.25">
      <c r="A14" s="103"/>
      <c r="B14" s="104"/>
      <c r="C14" s="104"/>
      <c r="D14" s="104"/>
      <c r="I14" s="2"/>
      <c r="J14" s="2"/>
      <c r="K14" s="2"/>
      <c r="L14" s="2"/>
    </row>
    <row r="15" spans="1:12" ht="15" x14ac:dyDescent="0.25">
      <c r="A15" s="190" t="s">
        <v>333</v>
      </c>
      <c r="B15" s="188"/>
      <c r="C15" s="191"/>
      <c r="D15" s="188"/>
      <c r="E15" s="188"/>
      <c r="F15" s="188"/>
      <c r="G15" s="188"/>
      <c r="H15" s="188"/>
      <c r="I15" s="188"/>
      <c r="J15" s="188"/>
      <c r="K15" s="180"/>
      <c r="L15" s="180"/>
    </row>
    <row r="16" spans="1:12" ht="15" x14ac:dyDescent="0.25">
      <c r="A16" s="192" t="s">
        <v>331</v>
      </c>
      <c r="B16" s="193" t="s">
        <v>336</v>
      </c>
      <c r="C16" s="194" t="s">
        <v>554</v>
      </c>
      <c r="D16" s="195"/>
      <c r="E16" s="195"/>
      <c r="F16" s="195"/>
      <c r="G16" s="196"/>
      <c r="H16" s="178" t="s">
        <v>83</v>
      </c>
      <c r="I16" s="179"/>
      <c r="J16" s="179"/>
      <c r="K16" s="197"/>
      <c r="L16" s="197"/>
    </row>
    <row r="17" spans="1:20" ht="14.25" x14ac:dyDescent="0.2">
      <c r="A17" s="198" t="s">
        <v>344</v>
      </c>
      <c r="B17" s="199"/>
      <c r="C17" s="177" t="s">
        <v>347</v>
      </c>
      <c r="D17" s="177"/>
      <c r="E17" s="177"/>
      <c r="F17" s="177"/>
      <c r="G17" s="200"/>
      <c r="H17" s="201" t="s">
        <v>512</v>
      </c>
      <c r="I17" s="179"/>
      <c r="J17" s="179"/>
      <c r="K17" s="197"/>
      <c r="L17" s="197"/>
    </row>
    <row r="18" spans="1:20" ht="14.25" x14ac:dyDescent="0.2">
      <c r="A18" s="202" t="s">
        <v>345</v>
      </c>
      <c r="B18" s="199"/>
      <c r="C18" s="177" t="s">
        <v>346</v>
      </c>
      <c r="D18" s="177"/>
      <c r="E18" s="177"/>
      <c r="F18" s="177"/>
      <c r="G18" s="200"/>
      <c r="H18" s="179" t="s">
        <v>408</v>
      </c>
      <c r="I18" s="179"/>
      <c r="J18" s="179"/>
      <c r="K18" s="197"/>
      <c r="L18" s="197"/>
    </row>
    <row r="19" spans="1:20" ht="14.25" x14ac:dyDescent="0.2">
      <c r="A19" s="202" t="s">
        <v>277</v>
      </c>
      <c r="B19" s="199"/>
      <c r="C19" s="177" t="s">
        <v>348</v>
      </c>
      <c r="D19" s="177"/>
      <c r="E19" s="177"/>
      <c r="F19" s="177"/>
      <c r="G19" s="200"/>
      <c r="H19" s="179" t="s">
        <v>339</v>
      </c>
      <c r="I19" s="179"/>
      <c r="J19" s="179"/>
      <c r="K19" s="197"/>
      <c r="L19" s="197"/>
    </row>
    <row r="20" spans="1:20" ht="30" x14ac:dyDescent="0.25">
      <c r="A20" s="203" t="s">
        <v>89</v>
      </c>
      <c r="B20" s="187">
        <f>IF(B19=0,0,(1+'1) YG Cost Inputs'!D46)*('Daily Side Costs'!F29/(627.2*B18-15.8*B18^1.5)+'Daily Side Costs'!F55*(2.41+41.2*B18/B19)/(436*B18)+'Daily Side Costs'!F64/(528*B17)+'Daily Side Costs'!F86/79))</f>
        <v>0</v>
      </c>
      <c r="C20" s="204"/>
      <c r="D20" s="205"/>
      <c r="E20" s="206"/>
      <c r="F20" s="206"/>
      <c r="G20" s="206"/>
      <c r="H20" s="206"/>
      <c r="I20" s="206"/>
      <c r="J20" s="206"/>
      <c r="K20" s="180"/>
      <c r="L20" s="180"/>
    </row>
    <row r="21" spans="1:20" x14ac:dyDescent="0.2">
      <c r="A21" s="2"/>
      <c r="B21" s="2"/>
      <c r="C21" s="2"/>
      <c r="D21" s="2"/>
      <c r="E21" s="2"/>
      <c r="F21" s="2"/>
      <c r="G21" s="2"/>
    </row>
    <row r="22" spans="1:20" ht="15" x14ac:dyDescent="0.25">
      <c r="A22" s="192" t="s">
        <v>334</v>
      </c>
      <c r="B22" s="180"/>
      <c r="C22" s="180"/>
      <c r="D22" s="188"/>
      <c r="E22" s="188"/>
      <c r="F22" s="188"/>
      <c r="G22" s="188"/>
      <c r="H22" s="178" t="s">
        <v>83</v>
      </c>
      <c r="I22" s="179"/>
      <c r="J22" s="179"/>
      <c r="K22" s="179"/>
      <c r="L22" s="179"/>
      <c r="M22" s="201"/>
    </row>
    <row r="23" spans="1:20" ht="15" x14ac:dyDescent="0.25">
      <c r="A23" s="207" t="s">
        <v>441</v>
      </c>
      <c r="B23" s="208" t="s">
        <v>85</v>
      </c>
      <c r="C23" s="209" t="s">
        <v>86</v>
      </c>
      <c r="D23" s="176" t="s">
        <v>555</v>
      </c>
      <c r="E23" s="177"/>
      <c r="F23" s="177"/>
      <c r="G23" s="177"/>
      <c r="H23" s="179" t="s">
        <v>350</v>
      </c>
      <c r="I23" s="201"/>
      <c r="J23" s="201"/>
      <c r="K23" s="201"/>
      <c r="L23" s="201"/>
      <c r="M23" s="197"/>
      <c r="N23" s="2"/>
      <c r="O23" s="2"/>
      <c r="P23" s="2"/>
      <c r="Q23" s="2"/>
      <c r="R23" s="2"/>
      <c r="S23" s="2"/>
      <c r="T23" s="2"/>
    </row>
    <row r="24" spans="1:20" ht="15" x14ac:dyDescent="0.25">
      <c r="A24" s="210" t="s">
        <v>436</v>
      </c>
      <c r="B24" s="211"/>
      <c r="C24" s="212"/>
      <c r="D24" s="177" t="s">
        <v>90</v>
      </c>
      <c r="E24" s="177"/>
      <c r="F24" s="177"/>
      <c r="G24" s="177"/>
      <c r="H24" s="179" t="s">
        <v>437</v>
      </c>
      <c r="I24" s="179"/>
      <c r="J24" s="179"/>
      <c r="K24" s="179"/>
      <c r="L24" s="179"/>
      <c r="M24" s="197"/>
      <c r="N24" s="2"/>
      <c r="O24" s="2"/>
      <c r="P24" s="2"/>
      <c r="Q24" s="2"/>
      <c r="R24" s="2"/>
      <c r="S24" s="2"/>
      <c r="T24" s="2"/>
    </row>
    <row r="25" spans="1:20" ht="15" x14ac:dyDescent="0.25">
      <c r="A25" s="213" t="s">
        <v>438</v>
      </c>
      <c r="B25" s="181"/>
      <c r="C25" s="182"/>
      <c r="D25" s="177" t="s">
        <v>346</v>
      </c>
      <c r="E25" s="177"/>
      <c r="F25" s="177"/>
      <c r="G25" s="177"/>
      <c r="H25" s="201" t="s">
        <v>340</v>
      </c>
      <c r="I25" s="179"/>
      <c r="J25" s="179"/>
      <c r="K25" s="179"/>
      <c r="L25" s="179"/>
      <c r="M25" s="197"/>
      <c r="N25" s="2"/>
      <c r="O25" s="2"/>
      <c r="P25" s="2"/>
      <c r="Q25" s="2"/>
      <c r="R25" s="2"/>
      <c r="S25" s="2"/>
      <c r="T25" s="2"/>
    </row>
    <row r="26" spans="1:20" ht="14.25" x14ac:dyDescent="0.2">
      <c r="A26" s="213" t="s">
        <v>341</v>
      </c>
      <c r="B26" s="214"/>
      <c r="C26" s="215"/>
      <c r="D26" s="177" t="s">
        <v>93</v>
      </c>
      <c r="E26" s="177"/>
      <c r="F26" s="177"/>
      <c r="G26" s="177"/>
      <c r="H26" s="179" t="s">
        <v>538</v>
      </c>
      <c r="I26" s="179"/>
      <c r="J26" s="179"/>
      <c r="K26" s="179"/>
      <c r="L26" s="179"/>
      <c r="M26" s="201"/>
      <c r="N26" s="2"/>
      <c r="O26" s="2"/>
      <c r="P26" s="2"/>
      <c r="Q26" s="2"/>
      <c r="R26" s="2"/>
      <c r="S26" s="2"/>
      <c r="T26" s="2"/>
    </row>
    <row r="27" spans="1:20" ht="14.25" x14ac:dyDescent="0.2">
      <c r="A27" s="213" t="s">
        <v>342</v>
      </c>
      <c r="B27" s="216" t="s">
        <v>360</v>
      </c>
      <c r="C27" s="217"/>
      <c r="D27" s="177" t="s">
        <v>93</v>
      </c>
      <c r="E27" s="177"/>
      <c r="F27" s="177"/>
      <c r="G27" s="177"/>
      <c r="H27" s="201" t="s">
        <v>352</v>
      </c>
      <c r="I27" s="201"/>
      <c r="J27" s="201"/>
      <c r="K27" s="201"/>
      <c r="L27" s="201"/>
      <c r="M27" s="201"/>
      <c r="N27" s="2"/>
      <c r="O27" s="2"/>
      <c r="P27" s="2"/>
      <c r="Q27" s="2"/>
      <c r="R27" s="2"/>
      <c r="S27" s="2"/>
      <c r="T27" s="2"/>
    </row>
    <row r="28" spans="1:20" ht="14.25" x14ac:dyDescent="0.2">
      <c r="A28" s="213" t="s">
        <v>343</v>
      </c>
      <c r="B28" s="218"/>
      <c r="C28" s="216" t="s">
        <v>360</v>
      </c>
      <c r="D28" s="177" t="s">
        <v>93</v>
      </c>
      <c r="E28" s="177"/>
      <c r="F28" s="177"/>
      <c r="G28" s="177"/>
      <c r="H28" s="201" t="s">
        <v>349</v>
      </c>
      <c r="I28" s="201"/>
      <c r="J28" s="201"/>
      <c r="K28" s="201"/>
      <c r="L28" s="201"/>
      <c r="M28" s="201"/>
      <c r="N28" s="2"/>
      <c r="O28" s="2"/>
      <c r="P28" s="2"/>
      <c r="Q28" s="2"/>
      <c r="R28" s="2"/>
      <c r="S28" s="2"/>
      <c r="T28" s="2"/>
    </row>
    <row r="29" spans="1:20" ht="30" x14ac:dyDescent="0.25">
      <c r="A29" s="203" t="s">
        <v>89</v>
      </c>
      <c r="B29" s="187">
        <f>IF(B26=0,0,(1+'1) YG Cost Inputs'!D46)*('Daily Side Costs'!F12/(274*B25-10.3*B25*B24)+'Daily Side Costs'!F22*(3.63+(0.0005*B28^2+0.0056*B28+0.5848)*IF(B26="Under 350",350,B26)/100)/145))</f>
        <v>0</v>
      </c>
      <c r="C29" s="187">
        <f>IF(C26=0,0,(1+'1) YG Cost Inputs'!D46)*('Daily Side Costs'!F12/(274*C25-10.3*C25*C24)+'Daily Side Costs'!F22*(3.63+(0.0005*C27^2+0.0056*C27+0.5848)*IF(C26="Under 350",350,C26)/100)/145))</f>
        <v>0</v>
      </c>
      <c r="D29" s="204"/>
      <c r="E29" s="219"/>
      <c r="F29" s="219"/>
      <c r="G29" s="219"/>
      <c r="H29" s="188"/>
      <c r="I29" s="188"/>
      <c r="J29" s="188"/>
      <c r="K29" s="188"/>
      <c r="L29" s="188"/>
      <c r="M29" s="180"/>
      <c r="N29" s="2"/>
      <c r="O29" s="2"/>
      <c r="P29" s="2"/>
      <c r="Q29" s="2"/>
      <c r="R29" s="2"/>
      <c r="S29" s="2"/>
      <c r="T29" s="2"/>
    </row>
    <row r="30" spans="1:20" ht="14.25" x14ac:dyDescent="0.2">
      <c r="A30" s="188"/>
      <c r="B30" s="188"/>
      <c r="C30" s="188"/>
      <c r="D30" s="188"/>
      <c r="E30" s="188"/>
      <c r="F30" s="188"/>
      <c r="G30" s="220"/>
      <c r="H30" s="188"/>
      <c r="I30" s="188"/>
      <c r="J30" s="188"/>
      <c r="K30" s="188"/>
      <c r="L30" s="188"/>
      <c r="M30" s="180"/>
      <c r="N30" s="2"/>
      <c r="O30" s="2"/>
      <c r="P30" s="2"/>
      <c r="Q30" s="2"/>
      <c r="R30" s="2"/>
      <c r="S30" s="2"/>
      <c r="T30" s="2"/>
    </row>
    <row r="31" spans="1:20" ht="15" x14ac:dyDescent="0.25">
      <c r="A31" s="190" t="s">
        <v>335</v>
      </c>
      <c r="B31" s="180"/>
      <c r="C31" s="180"/>
      <c r="D31" s="180"/>
      <c r="E31" s="180"/>
      <c r="F31" s="180"/>
      <c r="G31" s="180"/>
      <c r="H31" s="221" t="s">
        <v>83</v>
      </c>
      <c r="I31" s="201"/>
      <c r="J31" s="201"/>
      <c r="K31" s="201"/>
      <c r="L31" s="201"/>
      <c r="M31" s="201"/>
    </row>
    <row r="32" spans="1:20" ht="15" x14ac:dyDescent="0.25">
      <c r="A32" s="222" t="s">
        <v>91</v>
      </c>
      <c r="B32" s="180"/>
      <c r="C32" s="176" t="s">
        <v>556</v>
      </c>
      <c r="D32" s="177"/>
      <c r="E32" s="177"/>
      <c r="F32" s="177"/>
      <c r="G32" s="177"/>
      <c r="H32" s="201" t="s">
        <v>337</v>
      </c>
      <c r="I32" s="197"/>
      <c r="J32" s="197"/>
      <c r="K32" s="197"/>
      <c r="L32" s="197"/>
      <c r="M32" s="197"/>
    </row>
    <row r="33" spans="1:13" ht="14.25" x14ac:dyDescent="0.2">
      <c r="A33" s="198" t="s">
        <v>92</v>
      </c>
      <c r="B33" s="217"/>
      <c r="C33" s="177" t="s">
        <v>93</v>
      </c>
      <c r="D33" s="177"/>
      <c r="E33" s="177"/>
      <c r="F33" s="177"/>
      <c r="G33" s="177"/>
      <c r="H33" s="197" t="s">
        <v>338</v>
      </c>
      <c r="I33" s="197"/>
      <c r="J33" s="197"/>
      <c r="K33" s="197"/>
      <c r="L33" s="197"/>
      <c r="M33" s="197"/>
    </row>
    <row r="34" spans="1:13" ht="15" x14ac:dyDescent="0.25">
      <c r="A34" s="202" t="s">
        <v>439</v>
      </c>
      <c r="B34" s="182"/>
      <c r="C34" s="177" t="s">
        <v>346</v>
      </c>
      <c r="D34" s="177"/>
      <c r="E34" s="177"/>
      <c r="F34" s="177"/>
      <c r="G34" s="177"/>
      <c r="H34" s="201" t="s">
        <v>351</v>
      </c>
      <c r="I34" s="197"/>
      <c r="J34" s="197"/>
      <c r="K34" s="197"/>
      <c r="L34" s="197"/>
      <c r="M34" s="197"/>
    </row>
    <row r="35" spans="1:13" ht="14.25" x14ac:dyDescent="0.2">
      <c r="A35" s="202" t="s">
        <v>94</v>
      </c>
      <c r="B35" s="217"/>
      <c r="C35" s="177" t="s">
        <v>95</v>
      </c>
      <c r="D35" s="177"/>
      <c r="E35" s="177"/>
      <c r="F35" s="177"/>
      <c r="G35" s="177"/>
      <c r="H35" s="179" t="s">
        <v>539</v>
      </c>
      <c r="I35" s="197"/>
      <c r="J35" s="197"/>
      <c r="K35" s="197"/>
      <c r="L35" s="197"/>
      <c r="M35" s="197"/>
    </row>
    <row r="36" spans="1:13" ht="15" x14ac:dyDescent="0.25">
      <c r="A36" s="223" t="s">
        <v>440</v>
      </c>
      <c r="B36" s="212"/>
      <c r="C36" s="177" t="s">
        <v>90</v>
      </c>
      <c r="D36" s="177"/>
      <c r="E36" s="177"/>
      <c r="F36" s="177"/>
      <c r="G36" s="177"/>
      <c r="H36" s="197" t="s">
        <v>540</v>
      </c>
      <c r="I36" s="197"/>
      <c r="J36" s="197"/>
      <c r="K36" s="197"/>
      <c r="L36" s="197"/>
      <c r="M36" s="197"/>
    </row>
    <row r="37" spans="1:13" ht="30" x14ac:dyDescent="0.25">
      <c r="A37" s="224" t="s">
        <v>89</v>
      </c>
      <c r="B37" s="187">
        <f>IF(B36=0,0,(1+'1) YG Cost Inputs'!D46)*(('Daily Side Costs'!F29/(1.672*B36-1.355))+'Daily Side Costs'!F44/IF(B33&lt;0.5,0.166*B34*IF(B35&gt;180,180,B35)+38.72*B34+0.02486*IF(B35&gt;325,325,B35)+5.786,0.125*B34*IF(B35&gt;180,180,B35)+29.05*B34+0.01865*IF(B35&gt;325,325,B35)+4.341)))</f>
        <v>0</v>
      </c>
      <c r="C37" s="204"/>
      <c r="D37" s="180"/>
      <c r="E37" s="188"/>
      <c r="F37" s="188"/>
      <c r="G37" s="188"/>
      <c r="H37" s="180"/>
      <c r="I37" s="180"/>
      <c r="J37" s="180"/>
      <c r="K37" s="180"/>
      <c r="L37" s="180"/>
      <c r="M37" s="180"/>
    </row>
    <row r="38" spans="1:13" ht="14.25" x14ac:dyDescent="0.2">
      <c r="A38" s="188"/>
      <c r="B38" s="188"/>
      <c r="C38" s="188"/>
      <c r="D38" s="188"/>
      <c r="E38" s="188"/>
      <c r="F38" s="188"/>
      <c r="G38" s="188"/>
      <c r="H38" s="188"/>
      <c r="I38" s="180"/>
      <c r="J38" s="180"/>
      <c r="K38" s="180"/>
      <c r="L38" s="180"/>
      <c r="M38" s="180"/>
    </row>
  </sheetData>
  <sheetProtection algorithmName="SHA-512" hashValue="Xtfm1zArFW9jQ5mX3PVqMxBQQEH7UEAgnU4fmGL6/Tyx987q7HClkSVS55RD3NN1vOYwsEnaJFK9gSspINDK+w==" saltValue="rafjtZ18tIAoCm9wXVmCsw==" spinCount="100000" sheet="1"/>
  <dataValidations count="11">
    <dataValidation type="decimal" showDropDown="1" showErrorMessage="1" error="Invalid value" sqref="B11" xr:uid="{00000000-0002-0000-0700-000000000000}">
      <formula1>0.125</formula1>
      <formula2>0.45</formula2>
    </dataValidation>
    <dataValidation type="decimal" showErrorMessage="1" error="Invalid data" sqref="C11" xr:uid="{00000000-0002-0000-0700-000001000000}">
      <formula1>0.125</formula1>
      <formula2>0.45</formula2>
    </dataValidation>
    <dataValidation type="decimal" allowBlank="1" showErrorMessage="1" error="Invalid entry" sqref="B18" xr:uid="{00000000-0002-0000-0700-000002000000}">
      <formula1>0.125</formula1>
      <formula2>0.45</formula2>
    </dataValidation>
    <dataValidation type="decimal" allowBlank="1" showErrorMessage="1" error="Invalid entry" sqref="B36 B24:C24" xr:uid="{00000000-0002-0000-0700-000003000000}">
      <formula1>10</formula1>
      <formula2>18</formula2>
    </dataValidation>
    <dataValidation type="decimal" allowBlank="1" showErrorMessage="1" error="Invalid entry" sqref="B25 B34" xr:uid="{00000000-0002-0000-0700-000004000000}">
      <formula1>0.04</formula1>
      <formula2>0.3</formula2>
    </dataValidation>
    <dataValidation type="decimal" showErrorMessage="1" error="Invalid entry" sqref="C25" xr:uid="{00000000-0002-0000-0700-000005000000}">
      <formula1>0.04</formula1>
      <formula2>0.3</formula2>
    </dataValidation>
    <dataValidation type="decimal" showErrorMessage="1" error="Invalid entry" sqref="C27" xr:uid="{00000000-0002-0000-0700-000006000000}">
      <formula1>0</formula1>
      <formula2>35</formula2>
    </dataValidation>
    <dataValidation type="decimal" allowBlank="1" showErrorMessage="1" error="Invalid entry" sqref="B28" xr:uid="{00000000-0002-0000-0700-000007000000}">
      <formula1>-35</formula1>
      <formula2>0</formula2>
    </dataValidation>
    <dataValidation type="decimal" allowBlank="1" showErrorMessage="1" error="Invalid entry" sqref="B19" xr:uid="{00000000-0002-0000-0700-000008000000}">
      <formula1>15</formula1>
      <formula2>65</formula2>
    </dataValidation>
    <dataValidation type="decimal" allowBlank="1" showErrorMessage="1" error="Invalid entry" sqref="B33" xr:uid="{00000000-0002-0000-0700-000009000000}">
      <formula1>0</formula1>
      <formula2>1</formula2>
    </dataValidation>
    <dataValidation type="decimal" allowBlank="1" showErrorMessage="1" error="Invalid entry" sqref="B35" xr:uid="{00000000-0002-0000-0700-00000A000000}">
      <formula1>0</formula1>
      <formula2>1000</formula2>
    </dataValidation>
  </dataValidations>
  <printOptions gridLines="1"/>
  <pageMargins left="0.45" right="0.45" top="0.75" bottom="0.75" header="0.51180555555555551" footer="0.51180555555555551"/>
  <pageSetup paperSize="3" scale="99"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count="3">
        <x14:dataValidation type="list" operator="equal" showErrorMessage="1" error="Invalid entry" xr:uid="{00000000-0002-0000-0700-00000B000000}">
          <x14:formula1>
            <xm:f>droplist!$A$9:$A$11</xm:f>
          </x14:formula1>
          <x14:formula2>
            <xm:f>0</xm:f>
          </x14:formula2>
          <xm:sqref>B12</xm:sqref>
        </x14:dataValidation>
        <x14:dataValidation type="list" operator="equal" allowBlank="1" showErrorMessage="1" error="Invalid entry" xr:uid="{00000000-0002-0000-0700-00000C000000}">
          <x14:formula1>
            <xm:f>droplist!$A$9:$A$11</xm:f>
          </x14:formula1>
          <x14:formula2>
            <xm:f>0</xm:f>
          </x14:formula2>
          <xm:sqref>C12</xm:sqref>
        </x14:dataValidation>
        <x14:dataValidation type="list" operator="equal" showErrorMessage="1" error="Invalid entry" xr:uid="{00000000-0002-0000-0700-00000D000000}">
          <x14:formula1>
            <xm:f>droplist!$A$9:$A$15</xm:f>
          </x14:formula1>
          <x14:formula2>
            <xm:f>0</xm:f>
          </x14:formula2>
          <xm:sqref>B26:C26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CCFFCC"/>
    <pageSetUpPr fitToPage="1"/>
  </sheetPr>
  <dimension ref="B21"/>
  <sheetViews>
    <sheetView zoomScale="90" zoomScaleNormal="90" workbookViewId="0"/>
  </sheetViews>
  <sheetFormatPr defaultColWidth="8.7109375" defaultRowHeight="14.25" x14ac:dyDescent="0.2"/>
  <cols>
    <col min="1" max="16384" width="8.7109375" style="345"/>
  </cols>
  <sheetData>
    <row r="21" spans="2:2" ht="15" x14ac:dyDescent="0.25">
      <c r="B21" s="344"/>
    </row>
  </sheetData>
  <sheetProtection algorithmName="SHA-512" hashValue="VYnsYth1tk4S0qCGYWyMRUGsxu6NIb6FUOIZLbJ4eWc96HbH+1fKBlBTSAbZhWg8VzHpqO4nmJ6cmhN8Jkzatg==" saltValue="jVfbq6YIusjVctYT5cIJ7w==" spinCount="100000" sheet="1" objects="1" scenarios="1"/>
  <printOptions gridLines="1"/>
  <pageMargins left="0.45" right="0.45" top="0.75" bottom="0.75" header="0.51180555555555551" footer="0.51180555555555551"/>
  <pageSetup paperSize="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Haul RTT</vt:lpstr>
      <vt:lpstr>Tow</vt:lpstr>
      <vt:lpstr>ConvEquipMobe</vt:lpstr>
      <vt:lpstr>OG stump-to-truck</vt:lpstr>
      <vt:lpstr>Camp</vt:lpstr>
      <vt:lpstr>Stevedore</vt:lpstr>
      <vt:lpstr>Instructions YG</vt:lpstr>
      <vt:lpstr>YG stump-to-truck</vt:lpstr>
      <vt:lpstr>Appraiser Notes</vt:lpstr>
      <vt:lpstr>1) YG Cost Inputs</vt:lpstr>
      <vt:lpstr>MobileEquip Hrly</vt:lpstr>
      <vt:lpstr>Hrly Costs--Ydrs</vt:lpstr>
      <vt:lpstr>Daily Side Costs</vt:lpstr>
      <vt:lpstr>YGConventions</vt:lpstr>
      <vt:lpstr>Mobe ConvEquip&amp;Camp</vt:lpstr>
      <vt:lpstr>CampMobe&amp;DailyCosts</vt:lpstr>
      <vt:lpstr>droplist</vt:lpstr>
      <vt:lpstr>'Haul RTT'!Draft2018Calc</vt:lpstr>
      <vt:lpstr>'Haul RTT'!Print_Area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inga.petaisto@usda.gov</dc:creator>
  <cp:lastModifiedBy>O'Leary, Daniel - FS, AK</cp:lastModifiedBy>
  <cp:lastPrinted>2022-05-08T17:23:27Z</cp:lastPrinted>
  <dcterms:created xsi:type="dcterms:W3CDTF">2018-10-09T20:55:48Z</dcterms:created>
  <dcterms:modified xsi:type="dcterms:W3CDTF">2026-01-14T18:59:23Z</dcterms:modified>
</cp:coreProperties>
</file>