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6\"/>
    </mc:Choice>
  </mc:AlternateContent>
  <xr:revisionPtr revIDLastSave="0" documentId="13_ncr:1_{55FA6788-71EF-4253-954D-05C98E50D3C9}" xr6:coauthVersionLast="47" xr6:coauthVersionMax="47" xr10:uidLastSave="{00000000-0000-0000-0000-000000000000}"/>
  <bookViews>
    <workbookView xWindow="2868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Contract'!$A$2:$M$64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5" i="1" l="1"/>
  <c r="J145" i="1"/>
  <c r="I145" i="1"/>
  <c r="L96" i="1"/>
  <c r="J96" i="1"/>
  <c r="I96" i="1"/>
  <c r="K76" i="1"/>
  <c r="K75" i="1"/>
  <c r="K74" i="1"/>
  <c r="K96" i="1" s="1"/>
  <c r="K20" i="1"/>
  <c r="K103" i="1" s="1"/>
  <c r="K27" i="1"/>
  <c r="K47" i="1"/>
  <c r="L67" i="1"/>
  <c r="J67" i="1"/>
  <c r="I67" i="1"/>
  <c r="K14" i="1"/>
  <c r="K44" i="1"/>
  <c r="K35" i="1"/>
  <c r="K40" i="1"/>
  <c r="K8" i="1"/>
  <c r="L129" i="1"/>
  <c r="J129" i="1"/>
  <c r="I129" i="1"/>
  <c r="K55" i="1"/>
  <c r="L99" i="1"/>
  <c r="J99" i="1"/>
  <c r="I99" i="1"/>
  <c r="L128" i="1"/>
  <c r="J128" i="1"/>
  <c r="I128" i="1"/>
  <c r="K46" i="1"/>
  <c r="K45" i="1"/>
  <c r="K12" i="1"/>
  <c r="K99" i="1" s="1"/>
  <c r="K10" i="1"/>
  <c r="L141" i="1"/>
  <c r="J141" i="1"/>
  <c r="I141" i="1"/>
  <c r="K77" i="1"/>
  <c r="K141" i="1" s="1"/>
  <c r="L116" i="1"/>
  <c r="J116" i="1"/>
  <c r="I116" i="1"/>
  <c r="K29" i="1"/>
  <c r="K116" i="1" s="1"/>
  <c r="K28" i="1"/>
  <c r="K37" i="1"/>
  <c r="L133" i="1"/>
  <c r="J133" i="1"/>
  <c r="I133" i="1"/>
  <c r="K49" i="1"/>
  <c r="K133" i="1" s="1"/>
  <c r="L137" i="1"/>
  <c r="J137" i="1"/>
  <c r="I137" i="1"/>
  <c r="K50" i="1"/>
  <c r="K137" i="1" s="1"/>
  <c r="L103" i="1"/>
  <c r="J103" i="1"/>
  <c r="I103" i="1"/>
  <c r="I166" i="1"/>
  <c r="I157" i="1"/>
  <c r="K5" i="1"/>
  <c r="K4" i="1"/>
  <c r="L80" i="1"/>
  <c r="J80" i="1"/>
  <c r="I80" i="1"/>
  <c r="L101" i="1"/>
  <c r="J101" i="1"/>
  <c r="I101" i="1"/>
  <c r="K100" i="1"/>
  <c r="K101" i="1"/>
  <c r="K98" i="1"/>
  <c r="K73" i="1"/>
  <c r="K53" i="1"/>
  <c r="L127" i="1"/>
  <c r="J127" i="1"/>
  <c r="I127" i="1"/>
  <c r="K126" i="1"/>
  <c r="K43" i="1"/>
  <c r="K127" i="1" s="1"/>
  <c r="K39" i="1"/>
  <c r="K7" i="1"/>
  <c r="K57" i="1"/>
  <c r="K25" i="1"/>
  <c r="K54" i="1"/>
  <c r="K17" i="1"/>
  <c r="K41" i="1"/>
  <c r="K26" i="1"/>
  <c r="K59" i="1"/>
  <c r="K6" i="1"/>
  <c r="K38" i="1"/>
  <c r="L121" i="1"/>
  <c r="J121" i="1"/>
  <c r="I121" i="1"/>
  <c r="K33" i="1"/>
  <c r="K30" i="1"/>
  <c r="K34" i="1"/>
  <c r="K121" i="1" s="1"/>
  <c r="K36" i="1"/>
  <c r="L98" i="1"/>
  <c r="J98" i="1"/>
  <c r="I98" i="1"/>
  <c r="I160" i="1"/>
  <c r="K23" i="1"/>
  <c r="K64" i="1"/>
  <c r="K42" i="1"/>
  <c r="K72" i="1"/>
  <c r="K71" i="1"/>
  <c r="A53" i="1"/>
  <c r="K145" i="1" l="1"/>
  <c r="K129" i="1"/>
  <c r="K128" i="1"/>
  <c r="L82" i="1"/>
  <c r="I82" i="1"/>
  <c r="J82" i="1"/>
  <c r="L140" i="1"/>
  <c r="J140" i="1"/>
  <c r="I140" i="1"/>
  <c r="J138" i="1"/>
  <c r="K140" i="1"/>
  <c r="L105" i="1"/>
  <c r="L104" i="1"/>
  <c r="J104" i="1"/>
  <c r="I104" i="1"/>
  <c r="K13" i="1"/>
  <c r="K104" i="1" s="1"/>
  <c r="K24" i="1"/>
  <c r="K32" i="1"/>
  <c r="L93" i="1"/>
  <c r="J93" i="1"/>
  <c r="I93" i="1"/>
  <c r="K93" i="1"/>
  <c r="L112" i="1"/>
  <c r="J112" i="1"/>
  <c r="I112" i="1"/>
  <c r="K112" i="1"/>
  <c r="K9" i="1"/>
  <c r="K95" i="1" s="1"/>
  <c r="L95" i="1"/>
  <c r="K97" i="1"/>
  <c r="J95" i="1"/>
  <c r="I95" i="1"/>
  <c r="K92" i="1"/>
  <c r="L92" i="1"/>
  <c r="J92" i="1"/>
  <c r="I92" i="1"/>
  <c r="L130" i="1"/>
  <c r="J130" i="1"/>
  <c r="I130" i="1"/>
  <c r="K130" i="1"/>
  <c r="K63" i="1"/>
  <c r="L94" i="1"/>
  <c r="J94" i="1"/>
  <c r="I94" i="1"/>
  <c r="L123" i="1"/>
  <c r="J123" i="1"/>
  <c r="I123" i="1"/>
  <c r="L115" i="1"/>
  <c r="J115" i="1"/>
  <c r="I115" i="1"/>
  <c r="K115" i="1"/>
  <c r="K52" i="1"/>
  <c r="K123" i="1" l="1"/>
  <c r="K94" i="1"/>
  <c r="K119" i="1"/>
  <c r="K118" i="1"/>
  <c r="L135" i="1"/>
  <c r="K135" i="1"/>
  <c r="J135" i="1"/>
  <c r="I135" i="1"/>
  <c r="L118" i="1"/>
  <c r="J118" i="1"/>
  <c r="I118" i="1"/>
  <c r="L119" i="1"/>
  <c r="J119" i="1"/>
  <c r="I119" i="1"/>
  <c r="L102" i="1"/>
  <c r="J102" i="1"/>
  <c r="I102" i="1"/>
  <c r="J100" i="1"/>
  <c r="K102" i="1" l="1"/>
  <c r="L122" i="1"/>
  <c r="J122" i="1"/>
  <c r="I122" i="1"/>
  <c r="K122" i="1"/>
  <c r="K58" i="1"/>
  <c r="I124" i="1" l="1"/>
  <c r="I125" i="1"/>
  <c r="I126" i="1"/>
  <c r="K22" i="1" l="1"/>
  <c r="K16" i="1" l="1"/>
  <c r="K105" i="1" l="1"/>
  <c r="K62" i="1"/>
  <c r="A62" i="1"/>
  <c r="L97" i="1" l="1"/>
  <c r="L91" i="1"/>
  <c r="J97" i="1"/>
  <c r="J91" i="1"/>
  <c r="I97" i="1"/>
  <c r="I91" i="1"/>
  <c r="L124" i="1" l="1"/>
  <c r="J124" i="1"/>
  <c r="K51" i="1" l="1"/>
  <c r="A51" i="1"/>
  <c r="K19" i="1"/>
  <c r="K18" i="1"/>
  <c r="L114" i="1" l="1"/>
  <c r="J114" i="1"/>
  <c r="I114" i="1"/>
  <c r="K114" i="1"/>
  <c r="K61" i="1"/>
  <c r="A61" i="1"/>
  <c r="K60" i="1"/>
  <c r="A60" i="1"/>
  <c r="K80" i="1" l="1"/>
  <c r="C80" i="1"/>
  <c r="H80" i="1"/>
  <c r="K91" i="1"/>
  <c r="I89" i="1"/>
  <c r="L144" i="1" l="1"/>
  <c r="L143" i="1"/>
  <c r="K144" i="1"/>
  <c r="J144" i="1"/>
  <c r="J143" i="1"/>
  <c r="I144" i="1"/>
  <c r="I143" i="1"/>
  <c r="K90" i="1" l="1"/>
  <c r="L90" i="1"/>
  <c r="J90" i="1"/>
  <c r="I90" i="1"/>
  <c r="L88" i="1"/>
  <c r="J88" i="1"/>
  <c r="I88" i="1"/>
  <c r="L108" i="1" l="1"/>
  <c r="K108" i="1"/>
  <c r="J108" i="1"/>
  <c r="I108" i="1"/>
  <c r="J109" i="1" l="1"/>
  <c r="L166" i="1" l="1"/>
  <c r="L109" i="1"/>
  <c r="K87" i="1"/>
  <c r="I132" i="1"/>
  <c r="L89" i="1"/>
  <c r="L87" i="1"/>
  <c r="L86" i="1"/>
  <c r="J86" i="1"/>
  <c r="I142" i="1"/>
  <c r="I136" i="1"/>
  <c r="I138" i="1"/>
  <c r="I106" i="1"/>
  <c r="I134" i="1"/>
  <c r="I131" i="1"/>
  <c r="I120" i="1"/>
  <c r="I117" i="1"/>
  <c r="I113" i="1"/>
  <c r="I111" i="1"/>
  <c r="I110" i="1"/>
  <c r="I109" i="1"/>
  <c r="I107" i="1"/>
  <c r="I105" i="1"/>
  <c r="I100" i="1"/>
  <c r="K89" i="1"/>
  <c r="J89" i="1"/>
  <c r="J87" i="1"/>
  <c r="K86" i="1"/>
  <c r="J166" i="1"/>
  <c r="I87" i="1"/>
  <c r="I86" i="1"/>
  <c r="K109" i="1" l="1"/>
  <c r="K143" i="1" l="1"/>
  <c r="K166" i="1" l="1"/>
  <c r="K124" i="1"/>
  <c r="K31" i="1"/>
  <c r="H67" i="1" s="1"/>
  <c r="L136" i="1" l="1"/>
  <c r="L134" i="1"/>
  <c r="K136" i="1"/>
  <c r="K134" i="1"/>
  <c r="J136" i="1"/>
  <c r="J134" i="1"/>
  <c r="L111" i="1"/>
  <c r="K111" i="1"/>
  <c r="J111" i="1"/>
  <c r="K67" i="1" l="1"/>
  <c r="K82" i="1" s="1"/>
  <c r="H82" i="1"/>
  <c r="C67" i="1"/>
  <c r="C82" i="1" s="1"/>
  <c r="K88" i="1"/>
  <c r="L85" i="1"/>
  <c r="K85" i="1"/>
  <c r="J85" i="1"/>
  <c r="I85" i="1"/>
  <c r="I146" i="1" s="1"/>
  <c r="L132" i="1"/>
  <c r="L131" i="1"/>
  <c r="K132" i="1"/>
  <c r="K131" i="1"/>
  <c r="J132" i="1"/>
  <c r="J131" i="1"/>
  <c r="L100" i="1"/>
  <c r="A15" i="1" l="1"/>
  <c r="A16" i="1"/>
  <c r="A31" i="1" l="1"/>
  <c r="A54" i="1"/>
  <c r="A56" i="1"/>
  <c r="L117" i="1" l="1"/>
  <c r="K117" i="1"/>
  <c r="J117" i="1"/>
  <c r="L113" i="1"/>
  <c r="K113" i="1"/>
  <c r="J113" i="1"/>
  <c r="L138" i="1" l="1"/>
  <c r="K138" i="1"/>
  <c r="L126" i="1" l="1"/>
  <c r="J126" i="1"/>
  <c r="L120" i="1" l="1"/>
  <c r="K120" i="1"/>
  <c r="J120" i="1"/>
  <c r="J105" i="1" l="1"/>
  <c r="J106" i="1"/>
  <c r="K106" i="1"/>
  <c r="L106" i="1"/>
  <c r="J107" i="1" a="1"/>
  <c r="J107" i="1" s="1"/>
  <c r="K107" i="1" a="1"/>
  <c r="K107" i="1" s="1"/>
  <c r="L107" i="1" a="1"/>
  <c r="L107" i="1" s="1"/>
  <c r="J110" i="1"/>
  <c r="K110" i="1"/>
  <c r="L110" i="1"/>
  <c r="J125" i="1" a="1"/>
  <c r="J125" i="1" s="1"/>
  <c r="K125" i="1" a="1"/>
  <c r="K125" i="1" s="1"/>
  <c r="L125" i="1" a="1"/>
  <c r="L125" i="1" s="1"/>
  <c r="J142" i="1" a="1"/>
  <c r="J142" i="1" s="1"/>
  <c r="K142" i="1" a="1"/>
  <c r="K142" i="1" s="1"/>
  <c r="L142" i="1" a="1"/>
  <c r="L142" i="1" s="1"/>
  <c r="J146" i="1" l="1"/>
  <c r="L146" i="1"/>
  <c r="K146" i="1"/>
  <c r="K163" i="1" l="1"/>
  <c r="K162" i="1"/>
  <c r="K161" i="1"/>
  <c r="K153" i="1"/>
  <c r="K152" i="1"/>
  <c r="L165" i="1"/>
  <c r="K165" i="1" a="1"/>
  <c r="K165" i="1" s="1"/>
  <c r="J165" i="1" a="1"/>
  <c r="J165" i="1" s="1"/>
  <c r="I165" i="1" a="1"/>
  <c r="I165" i="1" s="1"/>
  <c r="L164" i="1" a="1"/>
  <c r="L164" i="1" s="1"/>
  <c r="K164" i="1" a="1"/>
  <c r="K164" i="1" s="1"/>
  <c r="J164" i="1" a="1"/>
  <c r="J164" i="1" s="1"/>
  <c r="I164" i="1" a="1"/>
  <c r="I164" i="1" s="1"/>
  <c r="L163" i="1" a="1"/>
  <c r="L163" i="1" s="1"/>
  <c r="J163" i="1" a="1"/>
  <c r="J163" i="1" s="1"/>
  <c r="I163" i="1" a="1"/>
  <c r="I163" i="1" s="1"/>
  <c r="L162" i="1" a="1"/>
  <c r="L162" i="1" s="1"/>
  <c r="J162" i="1"/>
  <c r="I162" i="1"/>
  <c r="L161" i="1" a="1"/>
  <c r="L161" i="1" s="1"/>
  <c r="J161" i="1" a="1"/>
  <c r="J161" i="1" s="1"/>
  <c r="I161" i="1" a="1"/>
  <c r="I161" i="1" s="1"/>
  <c r="L160" i="1" a="1"/>
  <c r="L160" i="1" s="1"/>
  <c r="K160" i="1" a="1"/>
  <c r="K160" i="1" s="1"/>
  <c r="J160" i="1" a="1"/>
  <c r="J160" i="1" s="1"/>
  <c r="L159" i="1" a="1"/>
  <c r="L159" i="1" s="1"/>
  <c r="K159" i="1" a="1"/>
  <c r="K159" i="1" s="1"/>
  <c r="J159" i="1" a="1"/>
  <c r="J159" i="1" s="1"/>
  <c r="I159" i="1" a="1"/>
  <c r="I159" i="1" s="1"/>
  <c r="L158" i="1" a="1"/>
  <c r="L158" i="1" s="1"/>
  <c r="K158" i="1" a="1"/>
  <c r="K158" i="1" s="1"/>
  <c r="J158" i="1" a="1"/>
  <c r="J158" i="1" s="1"/>
  <c r="I158" i="1" a="1"/>
  <c r="I158" i="1" s="1"/>
  <c r="L157" i="1" a="1"/>
  <c r="L157" i="1" s="1"/>
  <c r="K157" i="1" a="1"/>
  <c r="K157" i="1" s="1"/>
  <c r="J157" i="1" a="1"/>
  <c r="J157" i="1" s="1"/>
  <c r="L154" i="1" a="1"/>
  <c r="L154" i="1" s="1"/>
  <c r="K154" i="1" a="1"/>
  <c r="J154" i="1" a="1"/>
  <c r="J154" i="1" s="1"/>
  <c r="I154" i="1" a="1"/>
  <c r="I154" i="1" s="1"/>
  <c r="L153" i="1" a="1"/>
  <c r="L153" i="1" s="1"/>
  <c r="J153" i="1" a="1"/>
  <c r="J153" i="1" s="1"/>
  <c r="I153" i="1" a="1"/>
  <c r="I153" i="1" s="1"/>
  <c r="L152" i="1"/>
  <c r="J152" i="1"/>
  <c r="I152" i="1"/>
  <c r="L170" i="1"/>
  <c r="I170" i="1"/>
  <c r="I168" i="1" l="1"/>
  <c r="J172" i="1"/>
  <c r="L172" i="1"/>
  <c r="I172" i="1"/>
  <c r="K170" i="1"/>
  <c r="K154" i="1"/>
  <c r="K168" i="1" s="1"/>
  <c r="J170" i="1"/>
  <c r="L168" i="1"/>
  <c r="J168" i="1"/>
  <c r="K172" i="1" l="1"/>
</calcChain>
</file>

<file path=xl/sharedStrings.xml><?xml version="1.0" encoding="utf-8"?>
<sst xmlns="http://schemas.openxmlformats.org/spreadsheetml/2006/main" count="436" uniqueCount="263">
  <si>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</si>
  <si>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</si>
  <si>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</si>
  <si>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</si>
  <si>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</si>
  <si>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</si>
  <si>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</si>
  <si>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</si>
  <si>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</si>
  <si>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</si>
  <si>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</si>
  <si>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</si>
  <si>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</si>
  <si>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</si>
  <si>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</si>
  <si>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</si>
  <si>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</si>
  <si>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</si>
  <si>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</si>
  <si>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</si>
  <si>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</si>
  <si>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</si>
  <si>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</si>
  <si>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</si>
  <si>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</si>
  <si>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</si>
  <si>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</si>
  <si>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</si>
  <si>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</si>
  <si>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</si>
  <si>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</si>
  <si>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</si>
  <si>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Jerod Cook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</si>
  <si>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</si>
  <si>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</si>
  <si>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</si>
  <si>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</si>
  <si>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</si>
  <si>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</si>
  <si>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</si>
  <si>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</si>
  <si>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</si>
  <si>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</si>
  <si>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</si>
  <si>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</si>
  <si>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</si>
  <si>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</si>
  <si>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</si>
  <si>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</si>
  <si>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</si>
  <si>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</si>
  <si>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</si>
  <si>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</si>
  <si>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</si>
  <si>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</si>
  <si>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</si>
  <si>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</si>
  <si>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</si>
  <si>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</si>
  <si>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</si>
  <si>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</si>
  <si>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</si>
  <si>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</si>
  <si>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</si>
  <si>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</si>
  <si>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</si>
  <si>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</si>
  <si>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</si>
  <si>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</si>
  <si>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</si>
  <si>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</si>
  <si>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</si>
  <si>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</si>
  <si>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</si>
  <si>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</si>
  <si>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</si>
  <si>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</si>
  <si>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</si>
  <si>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</si>
  <si>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</si>
  <si>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</si>
  <si>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</si>
  <si>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</si>
  <si>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</si>
  <si>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</si>
  <si>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</si>
  <si>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</si>
  <si>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</si>
  <si>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</si>
  <si>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</si>
  <si>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</si>
  <si>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</si>
  <si>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</si>
  <si>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</si>
  <si>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</si>
  <si>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</si>
  <si>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</si>
  <si>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</si>
  <si>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</si>
  <si>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</si>
  <si>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</si>
  <si>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</si>
  <si>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</si>
  <si>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</si>
  <si>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</si>
  <si>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</si>
  <si>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</si>
  <si>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</si>
  <si>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</si>
  <si>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</si>
  <si>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</si>
  <si>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</si>
  <si>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</si>
  <si>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</si>
  <si>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</si>
  <si>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</si>
  <si>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</si>
  <si>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</si>
  <si>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</si>
  <si>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</si>
  <si>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</si>
  <si>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</si>
  <si>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</si>
  <si>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</si>
  <si>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</si>
  <si>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</si>
  <si>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</si>
  <si>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</si>
  <si>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</si>
  <si>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</si>
  <si>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</si>
  <si>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</si>
  <si>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</si>
  <si>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</si>
  <si>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</si>
  <si>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</si>
  <si>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</si>
  <si>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</si>
  <si>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</si>
  <si>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</si>
  <si>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</si>
  <si>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</si>
  <si>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</si>
  <si>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</si>
  <si>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</si>
  <si>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</si>
  <si>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</si>
  <si>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</si>
  <si>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</si>
  <si>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</si>
  <si>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</si>
  <si>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</si>
  <si>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</si>
  <si>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</si>
  <si>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</si>
  <si>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</si>
  <si>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</si>
  <si>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</si>
  <si>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</si>
  <si>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</si>
  <si>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</si>
  <si>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</si>
  <si>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</si>
  <si>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</si>
  <si>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</si>
  <si>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</si>
  <si>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</si>
  <si>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</si>
  <si>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</si>
  <si>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</si>
  <si>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</si>
  <si>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</si>
  <si>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</si>
  <si>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</si>
  <si>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</si>
  <si>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</si>
  <si>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</si>
  <si>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</si>
  <si>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</si>
  <si>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</si>
  <si>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</si>
  <si>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</si>
  <si>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</si>
  <si>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</si>
  <si>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</si>
  <si>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</si>
  <si>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</si>
  <si>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</si>
  <si>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</si>
  <si>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</si>
  <si>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</si>
  <si>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</si>
  <si>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</si>
  <si>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</si>
  <si>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</si>
  <si>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</si>
  <si>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</si>
  <si>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</si>
  <si>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</si>
  <si>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</si>
  <si>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</si>
  <si>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</si>
  <si>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</si>
  <si>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</si>
  <si>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</si>
  <si>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</si>
  <si>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Evergreen Alaska Inc.</t>
  </si>
  <si>
    <t>Naukati MW</t>
  </si>
  <si>
    <t>Upper Staney MW</t>
  </si>
  <si>
    <t>066152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</si>
  <si>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</si>
  <si>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</si>
  <si>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</si>
  <si>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</si>
  <si>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</si>
  <si>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</si>
  <si>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</si>
  <si>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</si>
  <si>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</si>
  <si>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</si>
  <si>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</si>
  <si>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</si>
  <si>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</si>
  <si>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</si>
  <si>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</si>
  <si>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</si>
  <si>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</si>
  <si>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</si>
  <si>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</si>
  <si>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</si>
  <si>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</si>
  <si>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</si>
  <si>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066277</t>
  </si>
  <si>
    <t>Honker Heli</t>
  </si>
  <si>
    <t>Shaan-Seet Inc</t>
  </si>
  <si>
    <t>066319</t>
  </si>
  <si>
    <t>MISS HOTEL YG</t>
  </si>
  <si>
    <t>066335</t>
  </si>
  <si>
    <t>49T</t>
  </si>
  <si>
    <t>Thomas Bay YG</t>
  </si>
  <si>
    <t>066343</t>
  </si>
  <si>
    <t>KISS BURGUNDY</t>
  </si>
  <si>
    <t>066327</t>
  </si>
  <si>
    <t>Corner Bay OG</t>
  </si>
  <si>
    <t>Admiralty</t>
  </si>
  <si>
    <t>066301</t>
  </si>
  <si>
    <t>Greens Creek 25 Settlement</t>
  </si>
  <si>
    <t>066350</t>
  </si>
  <si>
    <t>Flat Tale YG</t>
  </si>
  <si>
    <t>066368</t>
  </si>
  <si>
    <t>Plugged Muskeg</t>
  </si>
  <si>
    <t>Pavlof Valley</t>
  </si>
  <si>
    <t>066376</t>
  </si>
  <si>
    <t>Microsale #296</t>
  </si>
  <si>
    <t>002943</t>
  </si>
  <si>
    <t>Charles Campbell</t>
  </si>
  <si>
    <t>TK421 Fuelwood</t>
  </si>
  <si>
    <t>002950</t>
  </si>
  <si>
    <t>002968</t>
  </si>
  <si>
    <t>Wolf Co</t>
  </si>
  <si>
    <t>Pit Fuelwood</t>
  </si>
  <si>
    <t>Swimmer Fuelwood</t>
  </si>
  <si>
    <t>U.S. Forest Service, Alaska Region, Remaining Timber Sales Volumes and Values on February 28,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</si>
</sst>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8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/>
    </xf>
    <xf numFmtId="14" fontId="35" fillId="0" borderId="0" xfId="0" applyNumberFormat="1" applyFont="1" applyAlignment="1">
      <alignment horizontal="center"/>
    </xf>
    <xf numFmtId="164" fontId="36" fillId="0" borderId="0" xfId="0" applyNumberFormat="1" applyFont="1"/>
    <xf numFmtId="0" fontId="54" fillId="0" borderId="0" xfId="588" applyFont="1" applyAlignment="1">
      <alignment vertical="center"/>
    </xf>
    <xf numFmtId="4" fontId="35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 vertical="center"/>
    </xf>
    <xf numFmtId="0" fontId="35" fillId="0" borderId="0" xfId="0" applyFont="1" applyFill="1"/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/>
    </xf>
    <xf numFmtId="0" fontId="54" fillId="0" borderId="0" xfId="39" applyFont="1" applyFill="1" applyAlignment="1">
      <alignment vertical="center"/>
    </xf>
    <xf numFmtId="0" fontId="54" fillId="0" borderId="0" xfId="588" applyFont="1" applyFill="1"/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2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262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77</v>
      </c>
      <c r="B2" s="46" t="s">
        <v>24</v>
      </c>
      <c r="C2" s="46" t="s">
        <v>73</v>
      </c>
      <c r="D2" s="46" t="s">
        <v>74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67</v>
      </c>
      <c r="H3" s="7"/>
      <c r="I3" s="7"/>
      <c r="J3" s="7"/>
      <c r="K3" s="7"/>
      <c r="L3" s="7"/>
    </row>
    <row r="4" spans="1:16" s="50" customFormat="1" ht="15.75" x14ac:dyDescent="0.25">
      <c r="A4" s="49" t="s">
        <v>7</v>
      </c>
      <c r="B4" s="36">
        <v>100554</v>
      </c>
      <c r="C4" s="76" t="s">
        <v>210</v>
      </c>
      <c r="D4" s="36" t="s">
        <v>42</v>
      </c>
      <c r="E4" s="77">
        <v>45636</v>
      </c>
      <c r="F4" s="77">
        <v>46326</v>
      </c>
      <c r="G4" s="12" t="s">
        <v>98</v>
      </c>
      <c r="H4" s="82" t="s">
        <v>207</v>
      </c>
      <c r="I4" s="7">
        <v>58.43</v>
      </c>
      <c r="J4" s="37">
        <v>0</v>
      </c>
      <c r="K4" s="37">
        <f t="shared" ref="K4" si="0">I4-J4</f>
        <v>58.43</v>
      </c>
      <c r="L4" s="38">
        <v>52788.15</v>
      </c>
    </row>
    <row r="5" spans="1:16" s="50" customFormat="1" ht="15.75" x14ac:dyDescent="0.25">
      <c r="A5" s="49" t="s">
        <v>7</v>
      </c>
      <c r="B5" s="36">
        <v>100554</v>
      </c>
      <c r="C5" s="76" t="s">
        <v>209</v>
      </c>
      <c r="D5" s="36" t="s">
        <v>42</v>
      </c>
      <c r="E5" s="77">
        <v>45636</v>
      </c>
      <c r="F5" s="77">
        <v>46326</v>
      </c>
      <c r="G5" s="12" t="s">
        <v>98</v>
      </c>
      <c r="H5" s="82" t="s">
        <v>208</v>
      </c>
      <c r="I5" s="7">
        <v>87.34</v>
      </c>
      <c r="J5" s="37">
        <v>0</v>
      </c>
      <c r="K5" s="37">
        <f>I5-J5</f>
        <v>87.34</v>
      </c>
      <c r="L5" s="38">
        <v>91707</v>
      </c>
      <c r="P5" s="78"/>
    </row>
    <row r="6" spans="1:16" s="5" customFormat="1" ht="15" customHeight="1" x14ac:dyDescent="0.2">
      <c r="A6" s="5" t="s">
        <v>10</v>
      </c>
      <c r="B6" s="36">
        <v>100552</v>
      </c>
      <c r="C6" s="76" t="s">
        <v>184</v>
      </c>
      <c r="D6" s="36" t="s">
        <v>42</v>
      </c>
      <c r="E6" s="77">
        <v>45196</v>
      </c>
      <c r="F6" s="77">
        <v>45961</v>
      </c>
      <c r="G6" s="5" t="s">
        <v>44</v>
      </c>
      <c r="H6" s="83" t="s">
        <v>185</v>
      </c>
      <c r="I6" s="37">
        <v>304.64</v>
      </c>
      <c r="J6" s="37">
        <v>304.64</v>
      </c>
      <c r="K6" s="37">
        <f t="shared" ref="K6:K8" si="1">I6-J6</f>
        <v>0</v>
      </c>
      <c r="L6" s="38">
        <v>0</v>
      </c>
      <c r="M6" s="22"/>
    </row>
    <row r="7" spans="1:16" s="5" customFormat="1" ht="15" customHeight="1" x14ac:dyDescent="0.2">
      <c r="A7" s="5" t="s">
        <v>12</v>
      </c>
      <c r="B7" s="36">
        <v>100521</v>
      </c>
      <c r="C7" s="76" t="s">
        <v>196</v>
      </c>
      <c r="D7" s="36" t="s">
        <v>42</v>
      </c>
      <c r="E7" s="77">
        <v>45545</v>
      </c>
      <c r="F7" s="77">
        <v>45547</v>
      </c>
      <c r="G7" s="5" t="s">
        <v>106</v>
      </c>
      <c r="H7" s="83" t="s">
        <v>197</v>
      </c>
      <c r="I7" s="37">
        <v>4.1900000000000004</v>
      </c>
      <c r="J7" s="37">
        <v>4.1900000000000004</v>
      </c>
      <c r="K7" s="37">
        <f t="shared" si="1"/>
        <v>0</v>
      </c>
      <c r="L7" s="38">
        <v>255.34</v>
      </c>
      <c r="M7" s="22"/>
    </row>
    <row r="8" spans="1:16" s="5" customFormat="1" ht="15" customHeight="1" x14ac:dyDescent="0.2">
      <c r="A8" s="5" t="s">
        <v>12</v>
      </c>
      <c r="B8" s="36">
        <v>100521</v>
      </c>
      <c r="C8" s="76" t="s">
        <v>235</v>
      </c>
      <c r="D8" s="36" t="s">
        <v>42</v>
      </c>
      <c r="E8" s="77">
        <v>45918</v>
      </c>
      <c r="F8" s="77">
        <v>46691</v>
      </c>
      <c r="G8" s="5" t="s">
        <v>149</v>
      </c>
      <c r="H8" s="83" t="s">
        <v>236</v>
      </c>
      <c r="I8" s="37">
        <v>4.99</v>
      </c>
      <c r="J8" s="37">
        <v>0</v>
      </c>
      <c r="K8" s="37">
        <f t="shared" si="1"/>
        <v>4.99</v>
      </c>
      <c r="L8" s="38">
        <v>9.98</v>
      </c>
      <c r="M8" s="22"/>
    </row>
    <row r="9" spans="1:16" s="5" customFormat="1" ht="15" customHeight="1" x14ac:dyDescent="0.2">
      <c r="A9" s="5" t="s">
        <v>11</v>
      </c>
      <c r="B9" s="36">
        <v>100533</v>
      </c>
      <c r="C9" s="76" t="s">
        <v>146</v>
      </c>
      <c r="D9" s="36" t="s">
        <v>42</v>
      </c>
      <c r="E9" s="77">
        <v>44788</v>
      </c>
      <c r="F9" s="77">
        <v>45960</v>
      </c>
      <c r="G9" s="22" t="s">
        <v>145</v>
      </c>
      <c r="H9" s="84" t="s">
        <v>147</v>
      </c>
      <c r="I9" s="37">
        <v>278</v>
      </c>
      <c r="J9" s="37">
        <v>0</v>
      </c>
      <c r="K9" s="37">
        <f>SUM(I9-J9)</f>
        <v>278</v>
      </c>
      <c r="L9" s="38">
        <v>1812</v>
      </c>
      <c r="M9" s="22"/>
    </row>
    <row r="10" spans="1:16" s="5" customFormat="1" ht="15" customHeight="1" x14ac:dyDescent="0.2">
      <c r="A10" s="5" t="s">
        <v>11</v>
      </c>
      <c r="B10" s="36">
        <v>100533</v>
      </c>
      <c r="C10" s="76" t="s">
        <v>164</v>
      </c>
      <c r="D10" s="36" t="s">
        <v>42</v>
      </c>
      <c r="E10" s="77">
        <v>45006</v>
      </c>
      <c r="F10" s="77">
        <v>46082</v>
      </c>
      <c r="G10" s="22" t="s">
        <v>145</v>
      </c>
      <c r="H10" s="84" t="s">
        <v>165</v>
      </c>
      <c r="I10" s="37">
        <v>1024.57</v>
      </c>
      <c r="J10" s="37">
        <v>0</v>
      </c>
      <c r="K10" s="37">
        <f>SUM(I10-J10)</f>
        <v>1024.57</v>
      </c>
      <c r="L10" s="38">
        <v>3596.98</v>
      </c>
      <c r="M10" s="22"/>
    </row>
    <row r="11" spans="1:16" s="5" customFormat="1" ht="15" customHeight="1" x14ac:dyDescent="0.2">
      <c r="A11" s="5" t="s">
        <v>8</v>
      </c>
      <c r="B11" s="36">
        <v>100532</v>
      </c>
      <c r="C11" s="76" t="s">
        <v>120</v>
      </c>
      <c r="D11" s="36" t="s">
        <v>42</v>
      </c>
      <c r="E11" s="77">
        <v>44112</v>
      </c>
      <c r="F11" s="77">
        <v>46326</v>
      </c>
      <c r="G11" s="22" t="s">
        <v>121</v>
      </c>
      <c r="H11" s="84" t="s">
        <v>122</v>
      </c>
      <c r="I11" s="37">
        <v>161.22</v>
      </c>
      <c r="J11" s="37">
        <v>0</v>
      </c>
      <c r="K11" s="37">
        <v>161.22</v>
      </c>
      <c r="L11" s="38">
        <v>22783.21</v>
      </c>
      <c r="M11" s="22"/>
    </row>
    <row r="12" spans="1:16" s="5" customFormat="1" ht="15" customHeight="1" x14ac:dyDescent="0.2">
      <c r="A12" s="5" t="s">
        <v>12</v>
      </c>
      <c r="B12" s="36">
        <v>100521</v>
      </c>
      <c r="C12" s="76" t="s">
        <v>225</v>
      </c>
      <c r="D12" s="36" t="s">
        <v>42</v>
      </c>
      <c r="E12" s="77">
        <v>45895</v>
      </c>
      <c r="F12" s="77">
        <v>46691</v>
      </c>
      <c r="G12" s="22" t="s">
        <v>226</v>
      </c>
      <c r="H12" s="84" t="s">
        <v>227</v>
      </c>
      <c r="I12" s="37">
        <v>6.61</v>
      </c>
      <c r="J12" s="37">
        <v>0</v>
      </c>
      <c r="K12" s="37">
        <f>SUM(I12-J12)</f>
        <v>6.61</v>
      </c>
      <c r="L12" s="38">
        <v>1206.8</v>
      </c>
      <c r="M12" s="22"/>
    </row>
    <row r="13" spans="1:16" s="5" customFormat="1" ht="15" customHeight="1" x14ac:dyDescent="0.2">
      <c r="A13" s="5" t="s">
        <v>22</v>
      </c>
      <c r="B13" s="36">
        <v>100531</v>
      </c>
      <c r="C13" s="76" t="s">
        <v>154</v>
      </c>
      <c r="D13" s="36" t="s">
        <v>42</v>
      </c>
      <c r="E13" s="77">
        <v>44862</v>
      </c>
      <c r="F13" s="77">
        <v>45961</v>
      </c>
      <c r="G13" s="5" t="s">
        <v>155</v>
      </c>
      <c r="H13" s="85" t="s">
        <v>156</v>
      </c>
      <c r="I13" s="37">
        <v>35.47</v>
      </c>
      <c r="J13" s="37">
        <v>29.02</v>
      </c>
      <c r="K13" s="37">
        <f>(I13-J13)</f>
        <v>6.4499999999999993</v>
      </c>
      <c r="L13" s="38">
        <v>13.61</v>
      </c>
      <c r="M13" s="22"/>
    </row>
    <row r="14" spans="1:16" s="5" customFormat="1" ht="15" customHeight="1" x14ac:dyDescent="0.2">
      <c r="A14" s="5" t="s">
        <v>244</v>
      </c>
      <c r="B14" s="36">
        <v>100534</v>
      </c>
      <c r="C14" s="76" t="s">
        <v>245</v>
      </c>
      <c r="D14" s="36" t="s">
        <v>42</v>
      </c>
      <c r="E14" s="77">
        <v>45909</v>
      </c>
      <c r="F14" s="77">
        <v>47057</v>
      </c>
      <c r="G14" s="5" t="s">
        <v>29</v>
      </c>
      <c r="H14" s="85" t="s">
        <v>246</v>
      </c>
      <c r="I14" s="37">
        <v>7.04</v>
      </c>
      <c r="J14" s="37">
        <v>0</v>
      </c>
      <c r="K14" s="37">
        <f>(I14-J14)</f>
        <v>7.04</v>
      </c>
      <c r="L14" s="38">
        <v>515.33000000000004</v>
      </c>
      <c r="M14" s="22"/>
    </row>
    <row r="15" spans="1:16" s="5" customFormat="1" ht="15" customHeight="1" x14ac:dyDescent="0.2">
      <c r="A15" s="5" t="str">
        <f>LOOKUP(B15,B$85:C$97)</f>
        <v>Juneau</v>
      </c>
      <c r="B15" s="36">
        <v>100533</v>
      </c>
      <c r="C15" s="76" t="s">
        <v>39</v>
      </c>
      <c r="D15" s="36" t="s">
        <v>42</v>
      </c>
      <c r="E15" s="77">
        <v>41948</v>
      </c>
      <c r="F15" s="77">
        <v>45596</v>
      </c>
      <c r="G15" s="30" t="s">
        <v>29</v>
      </c>
      <c r="H15" s="86" t="s">
        <v>38</v>
      </c>
      <c r="I15" s="37">
        <v>737.59</v>
      </c>
      <c r="J15" s="37">
        <v>28</v>
      </c>
      <c r="K15" s="37">
        <v>709.59</v>
      </c>
      <c r="L15" s="38">
        <v>10766.84</v>
      </c>
      <c r="M15" s="22"/>
    </row>
    <row r="16" spans="1:16" s="5" customFormat="1" ht="15" customHeight="1" x14ac:dyDescent="0.2">
      <c r="A16" s="5" t="str">
        <f>LOOKUP(B16,B$85:C$97)</f>
        <v>Juneau</v>
      </c>
      <c r="B16" s="36">
        <v>100533</v>
      </c>
      <c r="C16" s="76" t="s">
        <v>36</v>
      </c>
      <c r="D16" s="36" t="s">
        <v>42</v>
      </c>
      <c r="E16" s="77">
        <v>41786</v>
      </c>
      <c r="F16" s="77">
        <v>45596</v>
      </c>
      <c r="G16" s="30" t="s">
        <v>29</v>
      </c>
      <c r="H16" s="86" t="s">
        <v>45</v>
      </c>
      <c r="I16" s="37">
        <v>158.33000000000001</v>
      </c>
      <c r="J16" s="37">
        <v>158.33000000000001</v>
      </c>
      <c r="K16" s="37">
        <f>I16-J16</f>
        <v>0</v>
      </c>
      <c r="L16" s="38">
        <v>0</v>
      </c>
      <c r="M16" s="22"/>
    </row>
    <row r="17" spans="1:13" s="5" customFormat="1" ht="15" customHeight="1" x14ac:dyDescent="0.2">
      <c r="A17" s="5" t="s">
        <v>8</v>
      </c>
      <c r="B17" s="36">
        <v>100532</v>
      </c>
      <c r="C17" s="76" t="s">
        <v>96</v>
      </c>
      <c r="D17" s="36" t="s">
        <v>42</v>
      </c>
      <c r="E17" s="77">
        <v>43314</v>
      </c>
      <c r="F17" s="77">
        <v>46326</v>
      </c>
      <c r="G17" s="5" t="s">
        <v>5</v>
      </c>
      <c r="H17" s="85" t="s">
        <v>94</v>
      </c>
      <c r="I17" s="37">
        <v>254.58</v>
      </c>
      <c r="J17" s="37">
        <v>92.2</v>
      </c>
      <c r="K17" s="37">
        <f>I17-J17</f>
        <v>162.38</v>
      </c>
      <c r="L17" s="38">
        <v>7826.81</v>
      </c>
      <c r="M17" s="22"/>
    </row>
    <row r="18" spans="1:13" s="5" customFormat="1" ht="15" customHeight="1" x14ac:dyDescent="0.2">
      <c r="A18" s="5" t="s">
        <v>8</v>
      </c>
      <c r="B18" s="36">
        <v>100532</v>
      </c>
      <c r="C18" s="76" t="s">
        <v>113</v>
      </c>
      <c r="D18" s="36" t="s">
        <v>42</v>
      </c>
      <c r="E18" s="77">
        <v>43993</v>
      </c>
      <c r="F18" s="77">
        <v>45961</v>
      </c>
      <c r="G18" s="5" t="s">
        <v>5</v>
      </c>
      <c r="H18" s="85" t="s">
        <v>114</v>
      </c>
      <c r="I18" s="37">
        <v>150.49</v>
      </c>
      <c r="J18" s="37">
        <v>0</v>
      </c>
      <c r="K18" s="37">
        <f>I18-J18</f>
        <v>150.49</v>
      </c>
      <c r="L18" s="38">
        <v>4025.71</v>
      </c>
      <c r="M18" s="22"/>
    </row>
    <row r="19" spans="1:13" s="5" customFormat="1" ht="15" customHeight="1" x14ac:dyDescent="0.2">
      <c r="A19" s="5" t="s">
        <v>8</v>
      </c>
      <c r="B19" s="36">
        <v>100532</v>
      </c>
      <c r="C19" s="76" t="s">
        <v>115</v>
      </c>
      <c r="D19" s="36" t="s">
        <v>42</v>
      </c>
      <c r="E19" s="77">
        <v>43993</v>
      </c>
      <c r="F19" s="77">
        <v>45961</v>
      </c>
      <c r="G19" s="5" t="s">
        <v>5</v>
      </c>
      <c r="H19" s="85" t="s">
        <v>118</v>
      </c>
      <c r="I19" s="37">
        <v>99.87</v>
      </c>
      <c r="J19" s="37">
        <v>99.87</v>
      </c>
      <c r="K19" s="37">
        <f>I19-J19</f>
        <v>0</v>
      </c>
      <c r="L19" s="38">
        <v>0</v>
      </c>
      <c r="M19" s="22"/>
    </row>
    <row r="20" spans="1:13" s="5" customFormat="1" ht="15" customHeight="1" x14ac:dyDescent="0.2">
      <c r="A20" s="5" t="s">
        <v>7</v>
      </c>
      <c r="B20" s="36">
        <v>100554</v>
      </c>
      <c r="C20" s="76" t="s">
        <v>252</v>
      </c>
      <c r="D20" s="36">
        <v>4</v>
      </c>
      <c r="E20" s="77">
        <v>45973</v>
      </c>
      <c r="F20" s="77">
        <v>46367</v>
      </c>
      <c r="G20" s="5" t="s">
        <v>193</v>
      </c>
      <c r="H20" s="85" t="s">
        <v>253</v>
      </c>
      <c r="I20" s="37">
        <v>9.35</v>
      </c>
      <c r="J20" s="37">
        <v>0</v>
      </c>
      <c r="K20" s="37">
        <f>I20-J20</f>
        <v>9.35</v>
      </c>
      <c r="L20" s="38">
        <v>1000.45</v>
      </c>
      <c r="M20" s="22"/>
    </row>
    <row r="21" spans="1:13" s="5" customFormat="1" ht="15.6" customHeight="1" x14ac:dyDescent="0.2">
      <c r="A21" s="5" t="s">
        <v>7</v>
      </c>
      <c r="B21" s="36">
        <v>100554</v>
      </c>
      <c r="C21" s="76" t="s">
        <v>105</v>
      </c>
      <c r="D21" s="76" t="s">
        <v>42</v>
      </c>
      <c r="E21" s="77">
        <v>43634</v>
      </c>
      <c r="F21" s="77">
        <v>46326</v>
      </c>
      <c r="G21" s="5" t="s">
        <v>103</v>
      </c>
      <c r="H21" s="85" t="s">
        <v>104</v>
      </c>
      <c r="I21" s="37">
        <v>156</v>
      </c>
      <c r="J21" s="37">
        <v>0</v>
      </c>
      <c r="K21" s="37">
        <v>156</v>
      </c>
      <c r="L21" s="38">
        <v>31251.96</v>
      </c>
      <c r="M21" s="22"/>
    </row>
    <row r="22" spans="1:13" s="5" customFormat="1" ht="15.6" customHeight="1" x14ac:dyDescent="0.2">
      <c r="A22" s="5" t="s">
        <v>7</v>
      </c>
      <c r="B22" s="36">
        <v>100554</v>
      </c>
      <c r="C22" s="76" t="s">
        <v>92</v>
      </c>
      <c r="D22" s="76">
        <v>6</v>
      </c>
      <c r="E22" s="77">
        <v>43276</v>
      </c>
      <c r="F22" s="77">
        <v>46234</v>
      </c>
      <c r="G22" s="5" t="s">
        <v>99</v>
      </c>
      <c r="H22" s="85" t="s">
        <v>93</v>
      </c>
      <c r="I22" s="37">
        <v>541.42999999999995</v>
      </c>
      <c r="J22" s="37">
        <v>430.91</v>
      </c>
      <c r="K22" s="37">
        <f>I22-J22</f>
        <v>110.51999999999992</v>
      </c>
      <c r="L22" s="38">
        <v>272.72000000000003</v>
      </c>
      <c r="M22" s="22"/>
    </row>
    <row r="23" spans="1:13" s="5" customFormat="1" ht="15.6" customHeight="1" x14ac:dyDescent="0.2">
      <c r="A23" s="5" t="s">
        <v>7</v>
      </c>
      <c r="B23" s="36">
        <v>100554</v>
      </c>
      <c r="C23" s="76" t="s">
        <v>168</v>
      </c>
      <c r="D23" s="76" t="s">
        <v>42</v>
      </c>
      <c r="E23" s="77">
        <v>45090</v>
      </c>
      <c r="F23" s="77">
        <v>46660</v>
      </c>
      <c r="G23" s="5" t="s">
        <v>99</v>
      </c>
      <c r="H23" s="85" t="s">
        <v>169</v>
      </c>
      <c r="I23" s="37">
        <v>42.91</v>
      </c>
      <c r="J23" s="37">
        <v>0</v>
      </c>
      <c r="K23" s="37">
        <f>SUM(I23-J23)</f>
        <v>42.91</v>
      </c>
      <c r="L23" s="38">
        <v>6761.63</v>
      </c>
      <c r="M23" s="22"/>
    </row>
    <row r="24" spans="1:13" s="5" customFormat="1" ht="15.6" customHeight="1" x14ac:dyDescent="0.2">
      <c r="A24" s="5" t="s">
        <v>7</v>
      </c>
      <c r="B24" s="36">
        <v>100554</v>
      </c>
      <c r="C24" s="76" t="s">
        <v>152</v>
      </c>
      <c r="D24" s="76" t="s">
        <v>42</v>
      </c>
      <c r="E24" s="77">
        <v>44817</v>
      </c>
      <c r="F24" s="77">
        <v>46996</v>
      </c>
      <c r="G24" s="5" t="s">
        <v>99</v>
      </c>
      <c r="H24" s="85" t="s">
        <v>153</v>
      </c>
      <c r="I24" s="37">
        <v>112.34</v>
      </c>
      <c r="J24" s="37">
        <v>0</v>
      </c>
      <c r="K24" s="37">
        <f>I24-J24</f>
        <v>112.34</v>
      </c>
      <c r="L24" s="38">
        <v>3556.05</v>
      </c>
      <c r="M24" s="22"/>
    </row>
    <row r="25" spans="1:13" s="5" customFormat="1" ht="15.6" customHeight="1" x14ac:dyDescent="0.2">
      <c r="A25" s="5" t="s">
        <v>7</v>
      </c>
      <c r="B25" s="36">
        <v>100554</v>
      </c>
      <c r="C25" s="76" t="s">
        <v>191</v>
      </c>
      <c r="D25" s="76" t="s">
        <v>42</v>
      </c>
      <c r="E25" s="77">
        <v>45517</v>
      </c>
      <c r="F25" s="77">
        <v>46691</v>
      </c>
      <c r="G25" s="5" t="s">
        <v>99</v>
      </c>
      <c r="H25" s="85" t="s">
        <v>192</v>
      </c>
      <c r="I25" s="37">
        <v>294.13</v>
      </c>
      <c r="J25" s="37">
        <v>0</v>
      </c>
      <c r="K25" s="37">
        <f>SUM(I25-J25)</f>
        <v>294.13</v>
      </c>
      <c r="L25" s="38">
        <v>5529.04</v>
      </c>
      <c r="M25" s="22"/>
    </row>
    <row r="26" spans="1:13" s="5" customFormat="1" ht="15.6" customHeight="1" x14ac:dyDescent="0.2">
      <c r="A26" s="5" t="s">
        <v>7</v>
      </c>
      <c r="B26" s="36">
        <v>100554</v>
      </c>
      <c r="C26" s="76" t="s">
        <v>186</v>
      </c>
      <c r="D26" s="76" t="s">
        <v>42</v>
      </c>
      <c r="E26" s="77">
        <v>45244</v>
      </c>
      <c r="F26" s="77">
        <v>46326</v>
      </c>
      <c r="G26" s="5" t="s">
        <v>99</v>
      </c>
      <c r="H26" s="85" t="s">
        <v>188</v>
      </c>
      <c r="I26" s="37">
        <v>223.92</v>
      </c>
      <c r="J26" s="37">
        <v>0</v>
      </c>
      <c r="K26" s="37">
        <f>SUM(I26-J26)</f>
        <v>223.92</v>
      </c>
      <c r="L26" s="38">
        <v>4192.32</v>
      </c>
      <c r="M26" s="22"/>
    </row>
    <row r="27" spans="1:13" s="5" customFormat="1" ht="15.6" customHeight="1" x14ac:dyDescent="0.2">
      <c r="A27" s="5" t="s">
        <v>7</v>
      </c>
      <c r="B27" s="36">
        <v>100554</v>
      </c>
      <c r="C27" s="76" t="s">
        <v>249</v>
      </c>
      <c r="D27" s="76" t="s">
        <v>42</v>
      </c>
      <c r="E27" s="77">
        <v>45937</v>
      </c>
      <c r="F27" s="77">
        <v>47057</v>
      </c>
      <c r="G27" s="5" t="s">
        <v>43</v>
      </c>
      <c r="H27" s="85" t="s">
        <v>250</v>
      </c>
      <c r="I27" s="37">
        <v>335</v>
      </c>
      <c r="J27" s="37">
        <v>0</v>
      </c>
      <c r="K27" s="37">
        <f>SUM(I27-J27)</f>
        <v>335</v>
      </c>
      <c r="L27" s="38">
        <v>9252.52</v>
      </c>
      <c r="M27" s="22"/>
    </row>
    <row r="28" spans="1:13" s="5" customFormat="1" ht="15.6" customHeight="1" x14ac:dyDescent="0.2">
      <c r="A28" s="5" t="s">
        <v>7</v>
      </c>
      <c r="B28" s="36">
        <v>100554</v>
      </c>
      <c r="C28" s="76" t="s">
        <v>217</v>
      </c>
      <c r="D28" s="76" t="s">
        <v>42</v>
      </c>
      <c r="E28" s="77">
        <v>45797</v>
      </c>
      <c r="F28" s="77">
        <v>47057</v>
      </c>
      <c r="G28" s="5" t="s">
        <v>43</v>
      </c>
      <c r="H28" s="85" t="s">
        <v>218</v>
      </c>
      <c r="I28" s="37">
        <v>188.75</v>
      </c>
      <c r="J28" s="37">
        <v>93.59</v>
      </c>
      <c r="K28" s="37">
        <f>I28-J28</f>
        <v>95.16</v>
      </c>
      <c r="L28" s="38">
        <v>69051.5</v>
      </c>
      <c r="M28" s="22"/>
    </row>
    <row r="29" spans="1:13" s="5" customFormat="1" ht="15.6" customHeight="1" x14ac:dyDescent="0.2">
      <c r="A29" s="5" t="s">
        <v>7</v>
      </c>
      <c r="B29" s="36">
        <v>100554</v>
      </c>
      <c r="C29" s="76" t="s">
        <v>219</v>
      </c>
      <c r="D29" s="76" t="s">
        <v>42</v>
      </c>
      <c r="E29" s="77">
        <v>45797</v>
      </c>
      <c r="F29" s="77">
        <v>46691</v>
      </c>
      <c r="G29" s="5" t="s">
        <v>220</v>
      </c>
      <c r="H29" s="85" t="s">
        <v>221</v>
      </c>
      <c r="I29" s="37">
        <v>15.89</v>
      </c>
      <c r="J29" s="37">
        <v>0</v>
      </c>
      <c r="K29" s="37">
        <f>I29-J29</f>
        <v>15.89</v>
      </c>
      <c r="L29" s="38">
        <v>1617.38</v>
      </c>
      <c r="M29" s="22"/>
    </row>
    <row r="30" spans="1:13" s="5" customFormat="1" ht="15" customHeight="1" x14ac:dyDescent="0.2">
      <c r="A30" s="5" t="s">
        <v>12</v>
      </c>
      <c r="B30" s="36">
        <v>100521</v>
      </c>
      <c r="C30" s="76" t="s">
        <v>177</v>
      </c>
      <c r="D30" s="36" t="s">
        <v>42</v>
      </c>
      <c r="E30" s="77">
        <v>45118</v>
      </c>
      <c r="F30" s="77">
        <v>46311</v>
      </c>
      <c r="G30" s="5" t="s">
        <v>70</v>
      </c>
      <c r="H30" s="85" t="s">
        <v>178</v>
      </c>
      <c r="I30" s="37">
        <v>2.84</v>
      </c>
      <c r="J30" s="37">
        <v>2.84</v>
      </c>
      <c r="K30" s="37">
        <f>I30-J30</f>
        <v>0</v>
      </c>
      <c r="L30" s="38">
        <v>0</v>
      </c>
      <c r="M30" s="22"/>
    </row>
    <row r="31" spans="1:13" s="5" customFormat="1" ht="15" customHeight="1" x14ac:dyDescent="0.2">
      <c r="A31" s="5" t="str">
        <f>LOOKUP(B31,B$85:C$97)</f>
        <v>Wrangell</v>
      </c>
      <c r="B31" s="36">
        <v>100522</v>
      </c>
      <c r="C31" s="76" t="s">
        <v>72</v>
      </c>
      <c r="D31" s="36">
        <v>6</v>
      </c>
      <c r="E31" s="77">
        <v>42640</v>
      </c>
      <c r="F31" s="77">
        <v>45961</v>
      </c>
      <c r="G31" s="5" t="s">
        <v>40</v>
      </c>
      <c r="H31" s="84" t="s">
        <v>71</v>
      </c>
      <c r="I31" s="37">
        <v>9802.6299999999992</v>
      </c>
      <c r="J31" s="37">
        <v>6146.64</v>
      </c>
      <c r="K31" s="37">
        <f t="shared" ref="K31" si="2">I31-J31</f>
        <v>3655.9899999999989</v>
      </c>
      <c r="L31" s="38">
        <v>19835.759999999998</v>
      </c>
      <c r="M31" s="22"/>
    </row>
    <row r="32" spans="1:13" s="5" customFormat="1" ht="15" customHeight="1" x14ac:dyDescent="0.2">
      <c r="A32" s="5" t="s">
        <v>13</v>
      </c>
      <c r="B32" s="36">
        <v>100522</v>
      </c>
      <c r="C32" s="76" t="s">
        <v>150</v>
      </c>
      <c r="D32" s="36">
        <v>6</v>
      </c>
      <c r="E32" s="77">
        <v>44831</v>
      </c>
      <c r="F32" s="77">
        <v>48487</v>
      </c>
      <c r="G32" s="5" t="s">
        <v>40</v>
      </c>
      <c r="H32" s="85" t="s">
        <v>151</v>
      </c>
      <c r="I32" s="37">
        <v>2652</v>
      </c>
      <c r="J32" s="37">
        <v>1183.99</v>
      </c>
      <c r="K32" s="37">
        <f t="shared" ref="K32:K47" si="3">I32-J32</f>
        <v>1468.01</v>
      </c>
      <c r="L32" s="38">
        <v>21228.87</v>
      </c>
      <c r="M32" s="22"/>
    </row>
    <row r="33" spans="1:13" s="5" customFormat="1" ht="15" customHeight="1" x14ac:dyDescent="0.2">
      <c r="A33" s="5" t="s">
        <v>13</v>
      </c>
      <c r="B33" s="36">
        <v>100522</v>
      </c>
      <c r="C33" s="76" t="s">
        <v>179</v>
      </c>
      <c r="D33" s="36" t="s">
        <v>42</v>
      </c>
      <c r="E33" s="77">
        <v>45167</v>
      </c>
      <c r="F33" s="77">
        <v>46326</v>
      </c>
      <c r="G33" s="5" t="s">
        <v>135</v>
      </c>
      <c r="H33" s="85" t="s">
        <v>180</v>
      </c>
      <c r="I33" s="37">
        <v>131.97999999999999</v>
      </c>
      <c r="J33" s="37">
        <v>87.11</v>
      </c>
      <c r="K33" s="37">
        <f t="shared" si="3"/>
        <v>44.86999999999999</v>
      </c>
      <c r="L33" s="38">
        <v>6516.2</v>
      </c>
      <c r="M33" s="22"/>
    </row>
    <row r="34" spans="1:13" s="5" customFormat="1" ht="15" customHeight="1" x14ac:dyDescent="0.2">
      <c r="A34" s="5" t="s">
        <v>12</v>
      </c>
      <c r="B34" s="36">
        <v>100521</v>
      </c>
      <c r="C34" s="76" t="s">
        <v>175</v>
      </c>
      <c r="D34" s="36" t="s">
        <v>42</v>
      </c>
      <c r="E34" s="77">
        <v>45160</v>
      </c>
      <c r="F34" s="77">
        <v>46053</v>
      </c>
      <c r="G34" s="5" t="s">
        <v>181</v>
      </c>
      <c r="H34" s="85" t="s">
        <v>176</v>
      </c>
      <c r="I34" s="37">
        <v>7</v>
      </c>
      <c r="J34" s="37">
        <v>5.5</v>
      </c>
      <c r="K34" s="37">
        <f t="shared" si="3"/>
        <v>1.5</v>
      </c>
      <c r="L34" s="38">
        <v>12.35</v>
      </c>
      <c r="M34" s="22"/>
    </row>
    <row r="35" spans="1:13" s="5" customFormat="1" ht="15" customHeight="1" x14ac:dyDescent="0.2">
      <c r="A35" s="5" t="s">
        <v>12</v>
      </c>
      <c r="B35" s="36">
        <v>100521</v>
      </c>
      <c r="C35" s="76" t="s">
        <v>240</v>
      </c>
      <c r="D35" s="36" t="s">
        <v>42</v>
      </c>
      <c r="E35" s="77">
        <v>45926</v>
      </c>
      <c r="F35" s="77">
        <v>46691</v>
      </c>
      <c r="G35" s="5" t="s">
        <v>139</v>
      </c>
      <c r="H35" s="85" t="s">
        <v>241</v>
      </c>
      <c r="I35" s="37">
        <v>19.79</v>
      </c>
      <c r="J35" s="37">
        <v>0</v>
      </c>
      <c r="K35" s="37">
        <f t="shared" si="3"/>
        <v>19.79</v>
      </c>
      <c r="L35" s="38">
        <v>3977.79</v>
      </c>
      <c r="M35" s="22"/>
    </row>
    <row r="36" spans="1:13" s="5" customFormat="1" ht="15" customHeight="1" x14ac:dyDescent="0.2">
      <c r="A36" s="5" t="s">
        <v>12</v>
      </c>
      <c r="B36" s="36">
        <v>100521</v>
      </c>
      <c r="C36" s="76" t="s">
        <v>173</v>
      </c>
      <c r="D36" s="36" t="s">
        <v>42</v>
      </c>
      <c r="E36" s="77">
        <v>45160</v>
      </c>
      <c r="F36" s="77">
        <v>46053</v>
      </c>
      <c r="G36" s="5" t="s">
        <v>139</v>
      </c>
      <c r="H36" s="85" t="s">
        <v>174</v>
      </c>
      <c r="I36" s="37">
        <v>18.260000000000002</v>
      </c>
      <c r="J36" s="37">
        <v>1.3</v>
      </c>
      <c r="K36" s="37">
        <f t="shared" si="3"/>
        <v>16.96</v>
      </c>
      <c r="L36" s="38">
        <v>212</v>
      </c>
      <c r="M36" s="22"/>
    </row>
    <row r="37" spans="1:13" s="5" customFormat="1" ht="15" customHeight="1" x14ac:dyDescent="0.2">
      <c r="A37" s="5" t="s">
        <v>12</v>
      </c>
      <c r="B37" s="36">
        <v>100521</v>
      </c>
      <c r="C37" s="76" t="s">
        <v>171</v>
      </c>
      <c r="D37" s="36" t="s">
        <v>42</v>
      </c>
      <c r="E37" s="77">
        <v>45160</v>
      </c>
      <c r="F37" s="77">
        <v>46053</v>
      </c>
      <c r="G37" s="5" t="s">
        <v>139</v>
      </c>
      <c r="H37" s="85" t="s">
        <v>172</v>
      </c>
      <c r="I37" s="37">
        <v>18.68</v>
      </c>
      <c r="J37" s="37">
        <v>18.68</v>
      </c>
      <c r="K37" s="37">
        <f t="shared" si="3"/>
        <v>0</v>
      </c>
      <c r="L37" s="38">
        <v>0</v>
      </c>
      <c r="M37" s="22"/>
    </row>
    <row r="38" spans="1:13" s="5" customFormat="1" ht="15" customHeight="1" x14ac:dyDescent="0.2">
      <c r="A38" s="5" t="s">
        <v>12</v>
      </c>
      <c r="B38" s="36">
        <v>100521</v>
      </c>
      <c r="C38" s="76" t="s">
        <v>182</v>
      </c>
      <c r="D38" s="36" t="s">
        <v>42</v>
      </c>
      <c r="E38" s="77">
        <v>45195</v>
      </c>
      <c r="F38" s="77">
        <v>46053</v>
      </c>
      <c r="G38" s="5" t="s">
        <v>139</v>
      </c>
      <c r="H38" s="85" t="s">
        <v>183</v>
      </c>
      <c r="I38" s="37">
        <v>21.83</v>
      </c>
      <c r="J38" s="37">
        <v>0</v>
      </c>
      <c r="K38" s="37">
        <f t="shared" si="3"/>
        <v>21.83</v>
      </c>
      <c r="L38" s="38">
        <v>531.41999999999996</v>
      </c>
      <c r="M38" s="22"/>
    </row>
    <row r="39" spans="1:13" s="5" customFormat="1" ht="15" customHeight="1" x14ac:dyDescent="0.2">
      <c r="A39" s="5" t="s">
        <v>12</v>
      </c>
      <c r="B39" s="36">
        <v>100521</v>
      </c>
      <c r="C39" s="76" t="s">
        <v>198</v>
      </c>
      <c r="D39" s="36" t="s">
        <v>42</v>
      </c>
      <c r="E39" s="77">
        <v>45533</v>
      </c>
      <c r="F39" s="77">
        <v>45961</v>
      </c>
      <c r="G39" s="5" t="s">
        <v>139</v>
      </c>
      <c r="H39" s="85" t="s">
        <v>199</v>
      </c>
      <c r="I39" s="37">
        <v>40.770000000000003</v>
      </c>
      <c r="J39" s="37">
        <v>4.13</v>
      </c>
      <c r="K39" s="37">
        <f t="shared" si="3"/>
        <v>36.64</v>
      </c>
      <c r="L39" s="38">
        <v>73.28</v>
      </c>
      <c r="M39" s="22"/>
    </row>
    <row r="40" spans="1:13" s="5" customFormat="1" ht="15" customHeight="1" x14ac:dyDescent="0.2">
      <c r="A40" s="5" t="s">
        <v>12</v>
      </c>
      <c r="B40" s="36">
        <v>100521</v>
      </c>
      <c r="C40" s="76" t="s">
        <v>237</v>
      </c>
      <c r="D40" s="36" t="s">
        <v>238</v>
      </c>
      <c r="E40" s="77">
        <v>45895</v>
      </c>
      <c r="F40" s="77">
        <v>47787</v>
      </c>
      <c r="G40" s="5" t="s">
        <v>139</v>
      </c>
      <c r="H40" s="85" t="s">
        <v>239</v>
      </c>
      <c r="I40" s="37">
        <v>4522</v>
      </c>
      <c r="J40" s="37">
        <v>0</v>
      </c>
      <c r="K40" s="37">
        <f t="shared" si="3"/>
        <v>4522</v>
      </c>
      <c r="L40" s="38">
        <v>218460.6</v>
      </c>
      <c r="M40" s="22"/>
    </row>
    <row r="41" spans="1:13" s="5" customFormat="1" ht="15" customHeight="1" x14ac:dyDescent="0.2">
      <c r="A41" s="5" t="s">
        <v>12</v>
      </c>
      <c r="B41" s="36">
        <v>100521</v>
      </c>
      <c r="C41" s="76" t="s">
        <v>189</v>
      </c>
      <c r="D41" s="36" t="s">
        <v>42</v>
      </c>
      <c r="E41" s="77">
        <v>45272</v>
      </c>
      <c r="F41" s="77">
        <v>46691</v>
      </c>
      <c r="G41" s="5" t="s">
        <v>139</v>
      </c>
      <c r="H41" s="85" t="s">
        <v>190</v>
      </c>
      <c r="I41" s="37">
        <v>258</v>
      </c>
      <c r="J41" s="37">
        <v>0</v>
      </c>
      <c r="K41" s="37">
        <f t="shared" si="3"/>
        <v>258</v>
      </c>
      <c r="L41" s="38">
        <v>27382.78</v>
      </c>
      <c r="M41" s="22"/>
    </row>
    <row r="42" spans="1:13" s="5" customFormat="1" x14ac:dyDescent="0.2">
      <c r="A42" s="5" t="s">
        <v>12</v>
      </c>
      <c r="B42" s="36">
        <v>100521</v>
      </c>
      <c r="C42" s="76" t="s">
        <v>162</v>
      </c>
      <c r="D42" s="36" t="s">
        <v>42</v>
      </c>
      <c r="E42" s="77">
        <v>44992</v>
      </c>
      <c r="F42" s="77">
        <v>46599</v>
      </c>
      <c r="G42" s="5" t="s">
        <v>119</v>
      </c>
      <c r="H42" s="85" t="s">
        <v>163</v>
      </c>
      <c r="I42" s="37">
        <v>599.17999999999995</v>
      </c>
      <c r="J42" s="37">
        <v>0</v>
      </c>
      <c r="K42" s="37">
        <f t="shared" si="3"/>
        <v>599.17999999999995</v>
      </c>
      <c r="L42" s="38">
        <v>52002.83</v>
      </c>
      <c r="M42" s="22"/>
    </row>
    <row r="43" spans="1:13" s="5" customFormat="1" ht="15" customHeight="1" x14ac:dyDescent="0.2">
      <c r="A43" s="5" t="s">
        <v>12</v>
      </c>
      <c r="B43" s="36">
        <v>100521</v>
      </c>
      <c r="C43" s="76" t="s">
        <v>200</v>
      </c>
      <c r="D43" s="36" t="s">
        <v>42</v>
      </c>
      <c r="E43" s="77">
        <v>45545</v>
      </c>
      <c r="F43" s="77">
        <v>46288</v>
      </c>
      <c r="G43" s="5" t="s">
        <v>201</v>
      </c>
      <c r="H43" s="85" t="s">
        <v>202</v>
      </c>
      <c r="I43" s="37">
        <v>4.45</v>
      </c>
      <c r="J43" s="37">
        <v>4.45</v>
      </c>
      <c r="K43" s="37">
        <f t="shared" si="3"/>
        <v>0</v>
      </c>
      <c r="L43" s="38">
        <v>0</v>
      </c>
      <c r="M43" s="22"/>
    </row>
    <row r="44" spans="1:13" s="5" customFormat="1" ht="15" customHeight="1" x14ac:dyDescent="0.2">
      <c r="A44" s="5" t="s">
        <v>22</v>
      </c>
      <c r="B44" s="36">
        <v>100531</v>
      </c>
      <c r="C44" s="76" t="s">
        <v>242</v>
      </c>
      <c r="D44" s="36" t="s">
        <v>42</v>
      </c>
      <c r="E44" s="77">
        <v>45924</v>
      </c>
      <c r="F44" s="77">
        <v>47057</v>
      </c>
      <c r="G44" s="5" t="s">
        <v>229</v>
      </c>
      <c r="H44" s="85" t="s">
        <v>243</v>
      </c>
      <c r="I44" s="37">
        <v>16.7</v>
      </c>
      <c r="J44" s="37">
        <v>0</v>
      </c>
      <c r="K44" s="37">
        <f t="shared" si="3"/>
        <v>16.7</v>
      </c>
      <c r="L44" s="38">
        <v>1500.03</v>
      </c>
      <c r="M44" s="22"/>
    </row>
    <row r="45" spans="1:13" s="5" customFormat="1" ht="15" customHeight="1" x14ac:dyDescent="0.2">
      <c r="A45" s="5" t="s">
        <v>22</v>
      </c>
      <c r="B45" s="36">
        <v>100531</v>
      </c>
      <c r="C45" s="76" t="s">
        <v>228</v>
      </c>
      <c r="D45" s="36" t="s">
        <v>42</v>
      </c>
      <c r="E45" s="77">
        <v>45887</v>
      </c>
      <c r="F45" s="77">
        <v>47057</v>
      </c>
      <c r="G45" s="5" t="s">
        <v>229</v>
      </c>
      <c r="H45" s="85" t="s">
        <v>230</v>
      </c>
      <c r="I45" s="37">
        <v>42.53</v>
      </c>
      <c r="J45" s="37">
        <v>0</v>
      </c>
      <c r="K45" s="37">
        <f t="shared" si="3"/>
        <v>42.53</v>
      </c>
      <c r="L45" s="38">
        <v>650.03</v>
      </c>
      <c r="M45" s="22"/>
    </row>
    <row r="46" spans="1:13" s="5" customFormat="1" ht="15" customHeight="1" x14ac:dyDescent="0.2">
      <c r="A46" s="5" t="s">
        <v>8</v>
      </c>
      <c r="B46" s="36">
        <v>100532</v>
      </c>
      <c r="C46" s="76" t="s">
        <v>231</v>
      </c>
      <c r="D46" s="36" t="s">
        <v>42</v>
      </c>
      <c r="E46" s="77">
        <v>45887</v>
      </c>
      <c r="F46" s="77">
        <v>47057</v>
      </c>
      <c r="G46" s="5" t="s">
        <v>229</v>
      </c>
      <c r="H46" s="85" t="s">
        <v>251</v>
      </c>
      <c r="I46" s="37">
        <v>44.88</v>
      </c>
      <c r="J46" s="37">
        <v>0</v>
      </c>
      <c r="K46" s="37">
        <f t="shared" si="3"/>
        <v>44.88</v>
      </c>
      <c r="L46" s="38">
        <v>5499.81</v>
      </c>
      <c r="M46" s="22"/>
    </row>
    <row r="47" spans="1:13" s="5" customFormat="1" ht="15" customHeight="1" x14ac:dyDescent="0.2">
      <c r="A47" s="5" t="s">
        <v>7</v>
      </c>
      <c r="B47" s="36">
        <v>100554</v>
      </c>
      <c r="C47" s="76" t="s">
        <v>247</v>
      </c>
      <c r="D47" s="36" t="s">
        <v>42</v>
      </c>
      <c r="E47" s="77">
        <v>45937</v>
      </c>
      <c r="F47" s="77">
        <v>47057</v>
      </c>
      <c r="G47" s="5" t="s">
        <v>234</v>
      </c>
      <c r="H47" s="85" t="s">
        <v>248</v>
      </c>
      <c r="I47" s="37">
        <v>220.99</v>
      </c>
      <c r="J47" s="37">
        <v>0</v>
      </c>
      <c r="K47" s="37">
        <f t="shared" si="3"/>
        <v>220.99</v>
      </c>
      <c r="L47" s="38">
        <v>1217.54</v>
      </c>
      <c r="M47" s="22"/>
    </row>
    <row r="48" spans="1:13" s="5" customFormat="1" ht="15" customHeight="1" x14ac:dyDescent="0.2">
      <c r="A48" s="5" t="s">
        <v>10</v>
      </c>
      <c r="B48" s="36">
        <v>100552</v>
      </c>
      <c r="C48" s="76" t="s">
        <v>102</v>
      </c>
      <c r="D48" s="36">
        <v>4</v>
      </c>
      <c r="E48" s="77">
        <v>43529</v>
      </c>
      <c r="F48" s="77">
        <v>46022</v>
      </c>
      <c r="G48" s="79" t="s">
        <v>87</v>
      </c>
      <c r="H48" s="87" t="s">
        <v>124</v>
      </c>
      <c r="I48" s="37">
        <v>2729.9</v>
      </c>
      <c r="J48" s="37">
        <v>0</v>
      </c>
      <c r="K48" s="37">
        <v>2729.9</v>
      </c>
      <c r="L48" s="38">
        <v>0</v>
      </c>
      <c r="M48" s="22"/>
    </row>
    <row r="49" spans="1:13" s="5" customFormat="1" ht="15" customHeight="1" x14ac:dyDescent="0.2">
      <c r="A49" s="5" t="s">
        <v>7</v>
      </c>
      <c r="B49" s="36">
        <v>100554</v>
      </c>
      <c r="C49" s="76" t="s">
        <v>214</v>
      </c>
      <c r="D49" s="36" t="s">
        <v>48</v>
      </c>
      <c r="E49" s="77">
        <v>45720</v>
      </c>
      <c r="F49" s="77">
        <v>46115</v>
      </c>
      <c r="G49" s="79" t="s">
        <v>215</v>
      </c>
      <c r="H49" s="87" t="s">
        <v>216</v>
      </c>
      <c r="I49" s="37">
        <v>2.13</v>
      </c>
      <c r="J49" s="37">
        <v>2.13</v>
      </c>
      <c r="K49" s="37">
        <f t="shared" ref="K49:K55" si="4">I49-J49</f>
        <v>0</v>
      </c>
      <c r="L49" s="38">
        <v>0</v>
      </c>
      <c r="M49" s="22"/>
    </row>
    <row r="50" spans="1:13" s="5" customFormat="1" ht="15" customHeight="1" x14ac:dyDescent="0.2">
      <c r="A50" s="5" t="s">
        <v>22</v>
      </c>
      <c r="B50" s="36">
        <v>100531</v>
      </c>
      <c r="C50" s="76" t="s">
        <v>211</v>
      </c>
      <c r="D50" s="36" t="s">
        <v>42</v>
      </c>
      <c r="E50" s="77">
        <v>45727</v>
      </c>
      <c r="F50" s="77">
        <v>46691</v>
      </c>
      <c r="G50" s="79" t="s">
        <v>212</v>
      </c>
      <c r="H50" s="87" t="s">
        <v>213</v>
      </c>
      <c r="I50" s="37">
        <v>44.49</v>
      </c>
      <c r="J50" s="37">
        <v>0</v>
      </c>
      <c r="K50" s="37">
        <f t="shared" si="4"/>
        <v>44.49</v>
      </c>
      <c r="L50" s="38">
        <v>849.78</v>
      </c>
      <c r="M50" s="22"/>
    </row>
    <row r="51" spans="1:13" s="5" customFormat="1" ht="15" customHeight="1" x14ac:dyDescent="0.2">
      <c r="A51" s="5" t="str">
        <f>LOOKUP(B51,B$85:C$97)</f>
        <v>Sitka</v>
      </c>
      <c r="B51" s="36">
        <v>100531</v>
      </c>
      <c r="C51" s="76" t="s">
        <v>116</v>
      </c>
      <c r="D51" s="36" t="s">
        <v>42</v>
      </c>
      <c r="E51" s="77">
        <v>43986</v>
      </c>
      <c r="F51" s="77">
        <v>45961</v>
      </c>
      <c r="G51" s="79" t="s">
        <v>46</v>
      </c>
      <c r="H51" s="87" t="s">
        <v>117</v>
      </c>
      <c r="I51" s="37">
        <v>37.909999999999997</v>
      </c>
      <c r="J51" s="37">
        <v>0</v>
      </c>
      <c r="K51" s="37">
        <f t="shared" si="4"/>
        <v>37.909999999999997</v>
      </c>
      <c r="L51" s="38">
        <v>79.06</v>
      </c>
      <c r="M51" s="22"/>
    </row>
    <row r="52" spans="1:13" s="5" customFormat="1" ht="15" customHeight="1" x14ac:dyDescent="0.2">
      <c r="A52" s="5" t="s">
        <v>22</v>
      </c>
      <c r="B52" s="36">
        <v>100531</v>
      </c>
      <c r="C52" s="76" t="s">
        <v>136</v>
      </c>
      <c r="D52" s="36" t="s">
        <v>42</v>
      </c>
      <c r="E52" s="77">
        <v>44448</v>
      </c>
      <c r="F52" s="77">
        <v>45961</v>
      </c>
      <c r="G52" s="5" t="s">
        <v>46</v>
      </c>
      <c r="H52" s="85" t="s">
        <v>137</v>
      </c>
      <c r="I52" s="37">
        <v>15</v>
      </c>
      <c r="J52" s="37">
        <v>0</v>
      </c>
      <c r="K52" s="37">
        <f t="shared" si="4"/>
        <v>15</v>
      </c>
      <c r="L52" s="38">
        <v>3210.15</v>
      </c>
      <c r="M52" s="22"/>
    </row>
    <row r="53" spans="1:13" s="5" customFormat="1" ht="15" customHeight="1" x14ac:dyDescent="0.2">
      <c r="A53" s="5" t="str">
        <f>LOOKUP(B53,B$84:C$96)</f>
        <v>Sitka</v>
      </c>
      <c r="B53" s="36">
        <v>100531</v>
      </c>
      <c r="C53" s="76" t="s">
        <v>47</v>
      </c>
      <c r="D53" s="36" t="s">
        <v>42</v>
      </c>
      <c r="E53" s="77">
        <v>42283</v>
      </c>
      <c r="F53" s="77">
        <v>45230</v>
      </c>
      <c r="G53" s="29" t="s">
        <v>35</v>
      </c>
      <c r="H53" s="85" t="s">
        <v>78</v>
      </c>
      <c r="I53" s="37">
        <v>94.66</v>
      </c>
      <c r="J53" s="37">
        <v>94.66</v>
      </c>
      <c r="K53" s="37">
        <f t="shared" si="4"/>
        <v>0</v>
      </c>
      <c r="L53" s="38">
        <v>0</v>
      </c>
      <c r="M53" s="22"/>
    </row>
    <row r="54" spans="1:13" s="5" customFormat="1" ht="15" customHeight="1" x14ac:dyDescent="0.2">
      <c r="A54" s="5" t="str">
        <f>LOOKUP(B54,B$85:C$97)</f>
        <v>Thorne Bay</v>
      </c>
      <c r="B54" s="36">
        <v>100554</v>
      </c>
      <c r="C54" s="76" t="s">
        <v>88</v>
      </c>
      <c r="D54" s="36">
        <v>13</v>
      </c>
      <c r="E54" s="77">
        <v>41905</v>
      </c>
      <c r="F54" s="77">
        <v>46660</v>
      </c>
      <c r="G54" s="5" t="s">
        <v>16</v>
      </c>
      <c r="H54" s="85" t="s">
        <v>37</v>
      </c>
      <c r="I54" s="37">
        <v>89840.13</v>
      </c>
      <c r="J54" s="37">
        <v>87099.4</v>
      </c>
      <c r="K54" s="37">
        <f t="shared" si="4"/>
        <v>2740.7300000000105</v>
      </c>
      <c r="L54" s="38">
        <v>26644.47</v>
      </c>
      <c r="M54" s="22"/>
    </row>
    <row r="55" spans="1:13" s="5" customFormat="1" ht="15" customHeight="1" x14ac:dyDescent="0.2">
      <c r="A55" s="5" t="s">
        <v>7</v>
      </c>
      <c r="B55" s="36">
        <v>100554</v>
      </c>
      <c r="C55" s="76" t="s">
        <v>232</v>
      </c>
      <c r="D55" s="36">
        <v>6</v>
      </c>
      <c r="E55" s="77">
        <v>45888</v>
      </c>
      <c r="F55" s="77">
        <v>47057</v>
      </c>
      <c r="G55" s="5" t="s">
        <v>16</v>
      </c>
      <c r="H55" s="85" t="s">
        <v>233</v>
      </c>
      <c r="I55" s="37">
        <v>1534</v>
      </c>
      <c r="J55" s="37">
        <v>142.72</v>
      </c>
      <c r="K55" s="37">
        <f t="shared" si="4"/>
        <v>1391.28</v>
      </c>
      <c r="L55" s="38">
        <v>466533.54</v>
      </c>
      <c r="M55" s="22"/>
    </row>
    <row r="56" spans="1:13" s="5" customFormat="1" ht="15" customHeight="1" x14ac:dyDescent="0.2">
      <c r="A56" s="5" t="str">
        <f>LOOKUP(B56,B$85:C$97)</f>
        <v>Thorne Bay</v>
      </c>
      <c r="B56" s="36">
        <v>100554</v>
      </c>
      <c r="C56" s="76" t="s">
        <v>33</v>
      </c>
      <c r="D56" s="36">
        <v>6</v>
      </c>
      <c r="E56" s="77">
        <v>40448</v>
      </c>
      <c r="F56" s="77">
        <v>42308</v>
      </c>
      <c r="G56" s="5" t="s">
        <v>16</v>
      </c>
      <c r="H56" s="85" t="s">
        <v>31</v>
      </c>
      <c r="I56" s="37">
        <v>31842.73</v>
      </c>
      <c r="J56" s="37">
        <v>31842.73</v>
      </c>
      <c r="K56" s="37">
        <v>0</v>
      </c>
      <c r="L56" s="38">
        <v>0</v>
      </c>
      <c r="M56" s="22"/>
    </row>
    <row r="57" spans="1:13" s="5" customFormat="1" ht="15" customHeight="1" x14ac:dyDescent="0.2">
      <c r="A57" s="5" t="s">
        <v>7</v>
      </c>
      <c r="B57" s="36">
        <v>100554</v>
      </c>
      <c r="C57" s="76" t="s">
        <v>194</v>
      </c>
      <c r="D57" s="36">
        <v>6</v>
      </c>
      <c r="E57" s="77">
        <v>44817</v>
      </c>
      <c r="F57" s="77">
        <v>46691</v>
      </c>
      <c r="G57" s="5" t="s">
        <v>16</v>
      </c>
      <c r="H57" s="85" t="s">
        <v>195</v>
      </c>
      <c r="I57" s="37">
        <v>1017.87</v>
      </c>
      <c r="J57" s="37">
        <v>1017.87</v>
      </c>
      <c r="K57" s="37">
        <f>SUM(I57-J57)</f>
        <v>0</v>
      </c>
      <c r="L57" s="38">
        <v>0</v>
      </c>
      <c r="M57" s="22"/>
    </row>
    <row r="58" spans="1:13" s="5" customFormat="1" ht="15" customHeight="1" x14ac:dyDescent="0.2">
      <c r="A58" s="5" t="s">
        <v>7</v>
      </c>
      <c r="B58" s="36">
        <v>100554</v>
      </c>
      <c r="C58" s="76" t="s">
        <v>90</v>
      </c>
      <c r="D58" s="36">
        <v>6</v>
      </c>
      <c r="E58" s="77">
        <v>43221</v>
      </c>
      <c r="F58" s="77">
        <v>46326</v>
      </c>
      <c r="G58" s="5" t="s">
        <v>16</v>
      </c>
      <c r="H58" s="85" t="s">
        <v>91</v>
      </c>
      <c r="I58" s="37">
        <v>8845.86</v>
      </c>
      <c r="J58" s="37">
        <v>8762.99</v>
      </c>
      <c r="K58" s="37">
        <f t="shared" ref="K58:K63" si="5">I58-J58</f>
        <v>82.8700000000008</v>
      </c>
      <c r="L58" s="38">
        <v>13974.37</v>
      </c>
      <c r="M58" s="22"/>
    </row>
    <row r="59" spans="1:13" s="5" customFormat="1" ht="15" customHeight="1" x14ac:dyDescent="0.2">
      <c r="A59" s="5" t="s">
        <v>7</v>
      </c>
      <c r="B59" s="36">
        <v>100554</v>
      </c>
      <c r="C59" s="76" t="s">
        <v>186</v>
      </c>
      <c r="D59" s="36" t="s">
        <v>42</v>
      </c>
      <c r="E59" s="77">
        <v>45244</v>
      </c>
      <c r="F59" s="77">
        <v>47422</v>
      </c>
      <c r="G59" s="5" t="s">
        <v>51</v>
      </c>
      <c r="H59" s="85" t="s">
        <v>187</v>
      </c>
      <c r="I59" s="37">
        <v>429</v>
      </c>
      <c r="J59" s="37">
        <v>0</v>
      </c>
      <c r="K59" s="37">
        <f t="shared" si="5"/>
        <v>429</v>
      </c>
      <c r="L59" s="38">
        <v>146434</v>
      </c>
      <c r="M59" s="22"/>
    </row>
    <row r="60" spans="1:13" s="5" customFormat="1" ht="15" customHeight="1" x14ac:dyDescent="0.2">
      <c r="A60" s="5" t="str">
        <f>LOOKUP(B60,B$86:C$99)</f>
        <v>Thorne Bay</v>
      </c>
      <c r="B60" s="36">
        <v>100554</v>
      </c>
      <c r="C60" s="76" t="s">
        <v>108</v>
      </c>
      <c r="D60" s="36">
        <v>6</v>
      </c>
      <c r="E60" s="77">
        <v>43398</v>
      </c>
      <c r="F60" s="77">
        <v>47057</v>
      </c>
      <c r="G60" s="5" t="s">
        <v>51</v>
      </c>
      <c r="H60" s="85" t="s">
        <v>109</v>
      </c>
      <c r="I60" s="37">
        <v>1752</v>
      </c>
      <c r="J60" s="37">
        <v>306.25</v>
      </c>
      <c r="K60" s="37">
        <f t="shared" si="5"/>
        <v>1445.75</v>
      </c>
      <c r="L60" s="38">
        <v>220892.91</v>
      </c>
      <c r="M60" s="22"/>
    </row>
    <row r="61" spans="1:13" s="5" customFormat="1" ht="15" customHeight="1" x14ac:dyDescent="0.2">
      <c r="A61" s="5" t="str">
        <f>LOOKUP(B61,B$86:C$99)</f>
        <v>Thorne Bay</v>
      </c>
      <c r="B61" s="36">
        <v>100554</v>
      </c>
      <c r="C61" s="76" t="s">
        <v>110</v>
      </c>
      <c r="D61" s="36">
        <v>6</v>
      </c>
      <c r="E61" s="77">
        <v>43977</v>
      </c>
      <c r="F61" s="77">
        <v>47057</v>
      </c>
      <c r="G61" s="5" t="s">
        <v>51</v>
      </c>
      <c r="H61" s="85" t="s">
        <v>111</v>
      </c>
      <c r="I61" s="37">
        <v>2028.47</v>
      </c>
      <c r="J61" s="37">
        <v>1695.3</v>
      </c>
      <c r="K61" s="37">
        <f t="shared" si="5"/>
        <v>333.17000000000007</v>
      </c>
      <c r="L61" s="38">
        <v>112129.2</v>
      </c>
      <c r="M61" s="22"/>
    </row>
    <row r="62" spans="1:13" s="5" customFormat="1" ht="15" customHeight="1" x14ac:dyDescent="0.2">
      <c r="A62" s="5" t="str">
        <f>LOOKUP(B62,B$86:C$99)</f>
        <v>Thorne Bay</v>
      </c>
      <c r="B62" s="36">
        <v>100554</v>
      </c>
      <c r="C62" s="76" t="s">
        <v>123</v>
      </c>
      <c r="D62" s="36">
        <v>6</v>
      </c>
      <c r="E62" s="77">
        <v>44187</v>
      </c>
      <c r="F62" s="77">
        <v>46904</v>
      </c>
      <c r="G62" s="5" t="s">
        <v>51</v>
      </c>
      <c r="H62" s="85" t="s">
        <v>130</v>
      </c>
      <c r="I62" s="37">
        <v>914</v>
      </c>
      <c r="J62" s="37">
        <v>0</v>
      </c>
      <c r="K62" s="37">
        <f t="shared" si="5"/>
        <v>914</v>
      </c>
      <c r="L62" s="38">
        <v>52502.51</v>
      </c>
      <c r="M62" s="22"/>
    </row>
    <row r="63" spans="1:13" s="5" customFormat="1" ht="15" customHeight="1" x14ac:dyDescent="0.2">
      <c r="A63" s="5" t="s">
        <v>7</v>
      </c>
      <c r="B63" s="36">
        <v>100554</v>
      </c>
      <c r="C63" s="76" t="s">
        <v>141</v>
      </c>
      <c r="D63" s="36" t="s">
        <v>42</v>
      </c>
      <c r="E63" s="77">
        <v>44698</v>
      </c>
      <c r="F63" s="77">
        <v>46568</v>
      </c>
      <c r="G63" s="5" t="s">
        <v>51</v>
      </c>
      <c r="H63" s="85" t="s">
        <v>142</v>
      </c>
      <c r="I63" s="37">
        <v>271.54000000000002</v>
      </c>
      <c r="J63" s="37">
        <v>186.54</v>
      </c>
      <c r="K63" s="37">
        <f t="shared" si="5"/>
        <v>85.000000000000028</v>
      </c>
      <c r="L63" s="38">
        <v>13345.63</v>
      </c>
      <c r="M63" s="22"/>
    </row>
    <row r="64" spans="1:13" s="5" customFormat="1" ht="15" customHeight="1" x14ac:dyDescent="0.2">
      <c r="A64" s="5" t="s">
        <v>7</v>
      </c>
      <c r="B64" s="36">
        <v>100554</v>
      </c>
      <c r="C64" s="76" t="s">
        <v>166</v>
      </c>
      <c r="D64" s="36">
        <v>4</v>
      </c>
      <c r="E64" s="77">
        <v>45090</v>
      </c>
      <c r="F64" s="77">
        <v>45961</v>
      </c>
      <c r="G64" s="5" t="s">
        <v>107</v>
      </c>
      <c r="H64" s="85" t="s">
        <v>167</v>
      </c>
      <c r="I64" s="37">
        <v>3.66</v>
      </c>
      <c r="J64" s="37">
        <v>3.66</v>
      </c>
      <c r="K64" s="37">
        <f>I64-J64</f>
        <v>0</v>
      </c>
      <c r="L64" s="38">
        <v>0</v>
      </c>
      <c r="M64" s="22"/>
    </row>
    <row r="65" spans="1:13" s="5" customFormat="1" ht="19.149999999999999" customHeight="1" x14ac:dyDescent="0.2">
      <c r="B65" s="51"/>
      <c r="C65" s="52"/>
      <c r="D65" s="53"/>
      <c r="E65" s="53"/>
      <c r="F65" s="53"/>
      <c r="I65" s="40"/>
      <c r="J65" s="40"/>
      <c r="K65" s="40"/>
      <c r="L65" s="54"/>
      <c r="M65" s="22"/>
    </row>
    <row r="66" spans="1:13" s="5" customFormat="1" ht="19.149999999999999" customHeight="1" x14ac:dyDescent="0.2">
      <c r="H66" s="33"/>
    </row>
    <row r="67" spans="1:13" s="5" customFormat="1" ht="19.149999999999999" customHeight="1" x14ac:dyDescent="0.2">
      <c r="B67" s="1" t="s">
        <v>79</v>
      </c>
      <c r="C67" s="12">
        <f>COUNTIF($K$4:$K$64,"&gt;=0")</f>
        <v>61</v>
      </c>
      <c r="D67" s="13"/>
      <c r="E67" s="13"/>
      <c r="F67" s="13"/>
      <c r="G67" s="14" t="s">
        <v>80</v>
      </c>
      <c r="H67" s="9">
        <f>COUNTIF($K$4:$K$64,"&gt;0")</f>
        <v>49</v>
      </c>
      <c r="I67" s="1">
        <f>SUM(I4:I64)</f>
        <v>165120.94000000003</v>
      </c>
      <c r="J67" s="1">
        <f>SUM(J4:J64)</f>
        <v>139849.63999999998</v>
      </c>
      <c r="K67" s="1">
        <f>SUM(K4:K64)</f>
        <v>25271.30000000001</v>
      </c>
      <c r="L67" s="2">
        <f>SUM(L4:L64)</f>
        <v>1745490.24</v>
      </c>
    </row>
    <row r="68" spans="1:13" s="5" customFormat="1" ht="19.149999999999999" customHeight="1" x14ac:dyDescent="0.2">
      <c r="B68" s="55"/>
      <c r="C68" s="56"/>
      <c r="D68" s="56"/>
      <c r="E68" s="55"/>
      <c r="F68" s="57"/>
      <c r="I68" s="41"/>
      <c r="J68" s="41"/>
      <c r="K68" s="41"/>
      <c r="L68" s="58"/>
    </row>
    <row r="69" spans="1:13" s="59" customFormat="1" ht="30" customHeight="1" x14ac:dyDescent="0.2">
      <c r="A69" s="49"/>
      <c r="B69" s="13"/>
      <c r="C69" s="13"/>
      <c r="D69" s="13"/>
      <c r="E69" s="13"/>
      <c r="F69" s="13"/>
      <c r="G69" s="14" t="s">
        <v>68</v>
      </c>
      <c r="H69" s="5"/>
      <c r="I69" s="5"/>
      <c r="J69" s="5"/>
      <c r="K69" s="5"/>
      <c r="L69" s="5"/>
    </row>
    <row r="70" spans="1:13" s="5" customFormat="1" ht="15" customHeight="1" x14ac:dyDescent="0.2">
      <c r="B70" s="60"/>
      <c r="C70" s="61"/>
      <c r="D70" s="61"/>
      <c r="E70" s="62"/>
      <c r="F70" s="62"/>
      <c r="G70" s="34"/>
      <c r="H70" s="34"/>
      <c r="I70" s="42"/>
      <c r="J70" s="42"/>
      <c r="K70" s="42"/>
      <c r="L70" s="63"/>
    </row>
    <row r="71" spans="1:13" s="5" customFormat="1" ht="15" customHeight="1" x14ac:dyDescent="0.2">
      <c r="A71" s="5" t="s">
        <v>14</v>
      </c>
      <c r="B71" s="23">
        <v>100430</v>
      </c>
      <c r="C71" s="24" t="s">
        <v>158</v>
      </c>
      <c r="D71" s="23" t="s">
        <v>42</v>
      </c>
      <c r="E71" s="25">
        <v>44916</v>
      </c>
      <c r="F71" s="25">
        <v>46179</v>
      </c>
      <c r="G71" s="26" t="s">
        <v>85</v>
      </c>
      <c r="H71" s="26" t="s">
        <v>159</v>
      </c>
      <c r="I71" s="27">
        <v>0</v>
      </c>
      <c r="J71" s="27">
        <v>0</v>
      </c>
      <c r="K71" s="27">
        <f t="shared" ref="K71:K77" si="6">SUM(I71-J71)</f>
        <v>0</v>
      </c>
      <c r="L71" s="28">
        <v>0</v>
      </c>
    </row>
    <row r="72" spans="1:13" s="5" customFormat="1" ht="15" customHeight="1" x14ac:dyDescent="0.2">
      <c r="A72" s="5" t="s">
        <v>14</v>
      </c>
      <c r="B72" s="23">
        <v>100430</v>
      </c>
      <c r="C72" s="24" t="s">
        <v>160</v>
      </c>
      <c r="D72" s="23" t="s">
        <v>42</v>
      </c>
      <c r="E72" s="25">
        <v>44916</v>
      </c>
      <c r="F72" s="25">
        <v>46179</v>
      </c>
      <c r="G72" s="26" t="s">
        <v>85</v>
      </c>
      <c r="H72" s="26" t="s">
        <v>161</v>
      </c>
      <c r="I72" s="27">
        <v>0</v>
      </c>
      <c r="J72" s="27">
        <v>0</v>
      </c>
      <c r="K72" s="27">
        <f t="shared" si="6"/>
        <v>0</v>
      </c>
      <c r="L72" s="28">
        <v>0</v>
      </c>
    </row>
    <row r="73" spans="1:13" s="5" customFormat="1" ht="15" customHeight="1" x14ac:dyDescent="0.2">
      <c r="A73" s="5" t="s">
        <v>14</v>
      </c>
      <c r="B73" s="23">
        <v>100430</v>
      </c>
      <c r="C73" s="24" t="s">
        <v>204</v>
      </c>
      <c r="D73" s="23">
        <v>4</v>
      </c>
      <c r="E73" s="25">
        <v>45628</v>
      </c>
      <c r="F73" s="25">
        <v>46173</v>
      </c>
      <c r="G73" s="26" t="s">
        <v>144</v>
      </c>
      <c r="H73" s="26" t="s">
        <v>205</v>
      </c>
      <c r="I73" s="27">
        <v>40</v>
      </c>
      <c r="J73" s="27">
        <v>40</v>
      </c>
      <c r="K73" s="27">
        <f t="shared" si="6"/>
        <v>0</v>
      </c>
      <c r="L73" s="28">
        <v>0</v>
      </c>
    </row>
    <row r="74" spans="1:13" s="5" customFormat="1" ht="15" customHeight="1" x14ac:dyDescent="0.2">
      <c r="A74" s="5" t="s">
        <v>14</v>
      </c>
      <c r="B74" s="23">
        <v>100430</v>
      </c>
      <c r="C74" s="24" t="s">
        <v>254</v>
      </c>
      <c r="D74" s="23">
        <v>4</v>
      </c>
      <c r="E74" s="25">
        <v>46051</v>
      </c>
      <c r="F74" s="25">
        <v>46446</v>
      </c>
      <c r="G74" s="26" t="s">
        <v>255</v>
      </c>
      <c r="H74" s="26" t="s">
        <v>256</v>
      </c>
      <c r="I74" s="27">
        <v>28</v>
      </c>
      <c r="J74" s="27">
        <v>0</v>
      </c>
      <c r="K74" s="27">
        <f t="shared" si="6"/>
        <v>28</v>
      </c>
      <c r="L74" s="28">
        <v>3248</v>
      </c>
    </row>
    <row r="75" spans="1:13" s="5" customFormat="1" ht="15" customHeight="1" x14ac:dyDescent="0.2">
      <c r="A75" s="5" t="s">
        <v>14</v>
      </c>
      <c r="B75" s="23">
        <v>100430</v>
      </c>
      <c r="C75" s="24" t="s">
        <v>257</v>
      </c>
      <c r="D75" s="23" t="s">
        <v>42</v>
      </c>
      <c r="E75" s="25">
        <v>46051</v>
      </c>
      <c r="F75" s="25">
        <v>46446</v>
      </c>
      <c r="G75" s="26" t="s">
        <v>259</v>
      </c>
      <c r="H75" s="26" t="s">
        <v>260</v>
      </c>
      <c r="I75" s="27">
        <v>182.5</v>
      </c>
      <c r="J75" s="27">
        <v>0</v>
      </c>
      <c r="K75" s="27">
        <f t="shared" si="6"/>
        <v>182.5</v>
      </c>
      <c r="L75" s="28">
        <v>13870</v>
      </c>
    </row>
    <row r="76" spans="1:13" s="5" customFormat="1" ht="15" customHeight="1" x14ac:dyDescent="0.2">
      <c r="A76" s="5" t="s">
        <v>14</v>
      </c>
      <c r="B76" s="23">
        <v>100430</v>
      </c>
      <c r="C76" s="24" t="s">
        <v>258</v>
      </c>
      <c r="D76" s="23" t="s">
        <v>42</v>
      </c>
      <c r="E76" s="25">
        <v>46051</v>
      </c>
      <c r="F76" s="25">
        <v>46446</v>
      </c>
      <c r="G76" s="26" t="s">
        <v>259</v>
      </c>
      <c r="H76" s="26" t="s">
        <v>261</v>
      </c>
      <c r="I76" s="27">
        <v>241.5</v>
      </c>
      <c r="J76" s="27">
        <v>0</v>
      </c>
      <c r="K76" s="27">
        <f t="shared" si="6"/>
        <v>241.5</v>
      </c>
      <c r="L76" s="28">
        <v>18354</v>
      </c>
    </row>
    <row r="77" spans="1:13" s="5" customFormat="1" ht="15" customHeight="1" x14ac:dyDescent="0.2">
      <c r="A77" s="5" t="s">
        <v>14</v>
      </c>
      <c r="B77" s="23">
        <v>100430</v>
      </c>
      <c r="C77" s="24" t="s">
        <v>222</v>
      </c>
      <c r="D77" s="23">
        <v>4</v>
      </c>
      <c r="E77" s="25">
        <v>45628</v>
      </c>
      <c r="F77" s="25">
        <v>46173</v>
      </c>
      <c r="G77" s="26" t="s">
        <v>223</v>
      </c>
      <c r="H77" s="26" t="s">
        <v>224</v>
      </c>
      <c r="I77" s="27">
        <v>120.5</v>
      </c>
      <c r="J77" s="27">
        <v>28.5</v>
      </c>
      <c r="K77" s="27">
        <f t="shared" si="6"/>
        <v>92</v>
      </c>
      <c r="L77" s="28">
        <v>5888</v>
      </c>
    </row>
    <row r="78" spans="1:13" s="5" customFormat="1" ht="15" customHeight="1" x14ac:dyDescent="0.2">
      <c r="B78" s="23"/>
      <c r="C78" s="24"/>
      <c r="D78" s="23"/>
      <c r="E78" s="25"/>
      <c r="F78" s="25"/>
      <c r="G78" s="26"/>
      <c r="H78" s="26"/>
      <c r="I78" s="27"/>
      <c r="J78" s="27"/>
      <c r="K78" s="27"/>
      <c r="L78" s="28"/>
    </row>
    <row r="79" spans="1:13" s="5" customFormat="1" ht="15" customHeight="1" x14ac:dyDescent="0.2">
      <c r="B79" s="64"/>
      <c r="C79" s="65"/>
      <c r="D79" s="65"/>
      <c r="E79" s="66"/>
      <c r="F79" s="66"/>
      <c r="G79" s="35"/>
      <c r="H79" s="35"/>
      <c r="I79" s="43"/>
      <c r="J79" s="43"/>
      <c r="K79" s="43"/>
      <c r="L79" s="67"/>
    </row>
    <row r="80" spans="1:13" s="5" customFormat="1" ht="21.4" customHeight="1" x14ac:dyDescent="0.2">
      <c r="B80" s="1" t="s">
        <v>81</v>
      </c>
      <c r="C80" s="9">
        <f>COUNTIF($K$71:$K$79,"&gt;=0")</f>
        <v>7</v>
      </c>
      <c r="D80" s="15"/>
      <c r="E80" s="13"/>
      <c r="F80" s="13"/>
      <c r="G80" s="14" t="s">
        <v>82</v>
      </c>
      <c r="H80" s="9">
        <f>COUNTIF($K$71:$K$79,"&gt;0")</f>
        <v>4</v>
      </c>
      <c r="I80" s="1">
        <f>SUM(I71:I79)</f>
        <v>612.5</v>
      </c>
      <c r="J80" s="1">
        <f>SUM(J71:J79)</f>
        <v>68.5</v>
      </c>
      <c r="K80" s="1">
        <f>SUM(K71:K79)</f>
        <v>544</v>
      </c>
      <c r="L80" s="2">
        <f>SUM(L71:L79)</f>
        <v>41360</v>
      </c>
    </row>
    <row r="81" spans="1:12" s="50" customFormat="1" ht="30" customHeight="1" x14ac:dyDescent="0.25">
      <c r="B81" s="36"/>
      <c r="C81" s="36"/>
      <c r="D81" s="36"/>
      <c r="E81" s="36"/>
      <c r="F81" s="36"/>
      <c r="G81" s="68" t="s">
        <v>69</v>
      </c>
      <c r="H81" s="7"/>
      <c r="I81" s="44"/>
      <c r="J81" s="44"/>
      <c r="K81" s="44"/>
      <c r="L81" s="44"/>
    </row>
    <row r="82" spans="1:12" s="5" customFormat="1" ht="21.4" customHeight="1" x14ac:dyDescent="0.2">
      <c r="B82" s="1" t="s">
        <v>84</v>
      </c>
      <c r="C82" s="9">
        <f>C67+C80</f>
        <v>68</v>
      </c>
      <c r="D82" s="15"/>
      <c r="E82" s="13"/>
      <c r="F82" s="13"/>
      <c r="G82" s="14" t="s">
        <v>83</v>
      </c>
      <c r="H82" s="9">
        <f>H67+H80</f>
        <v>53</v>
      </c>
      <c r="I82" s="16">
        <f>I67+I80</f>
        <v>165733.44000000003</v>
      </c>
      <c r="J82" s="16">
        <f>J67+J80</f>
        <v>139918.13999999998</v>
      </c>
      <c r="K82" s="16">
        <f>K67+K80</f>
        <v>25815.30000000001</v>
      </c>
      <c r="L82" s="17">
        <f>L67+L80</f>
        <v>1786850.24</v>
      </c>
    </row>
    <row r="83" spans="1:12" s="5" customFormat="1" ht="21.4" customHeight="1" x14ac:dyDescent="0.2">
      <c r="B83" s="1"/>
      <c r="C83" s="9"/>
      <c r="D83" s="15"/>
      <c r="E83" s="13"/>
      <c r="F83" s="13"/>
      <c r="G83" s="14"/>
      <c r="H83" s="9"/>
      <c r="I83" s="16"/>
      <c r="J83" s="16"/>
      <c r="K83" s="16"/>
      <c r="L83" s="17"/>
    </row>
    <row r="84" spans="1:12" s="5" customFormat="1" ht="21.4" customHeight="1" x14ac:dyDescent="0.2">
      <c r="B84" s="1"/>
      <c r="C84" s="9"/>
      <c r="D84" s="15"/>
      <c r="E84" s="13"/>
      <c r="F84" s="13"/>
      <c r="G84" s="14"/>
      <c r="H84" s="9"/>
      <c r="I84" s="16"/>
      <c r="J84" s="16"/>
      <c r="K84" s="16"/>
      <c r="L84" s="17"/>
    </row>
    <row r="85" spans="1:12" s="5" customFormat="1" ht="14.25" customHeight="1" x14ac:dyDescent="0.2">
      <c r="A85" s="5" t="s">
        <v>25</v>
      </c>
      <c r="B85" s="13">
        <v>100410</v>
      </c>
      <c r="C85" s="15" t="s">
        <v>20</v>
      </c>
      <c r="D85" s="15"/>
      <c r="E85" s="5" t="s">
        <v>52</v>
      </c>
      <c r="F85" s="6"/>
      <c r="G85" s="12" t="s">
        <v>98</v>
      </c>
      <c r="I85" s="1">
        <f>SUMIF($G$4:$G$80,"Alaska Milling &amp; Fabrication LLC",$I$4:$I$80)</f>
        <v>145.77000000000001</v>
      </c>
      <c r="J85" s="1">
        <f>SUMIF($G$4:$G$80,"Alaska Milling &amp; Fabrication LLC",$J$4:$J$80)</f>
        <v>0</v>
      </c>
      <c r="K85" s="1">
        <f>SUMIF($G$4:$G$80,"Alaska Milling &amp; Fabrication LLC",$K$4:$K$80)</f>
        <v>145.77000000000001</v>
      </c>
      <c r="L85" s="2">
        <f>SUMIF($G$4:$G$80,"Alaska Milling &amp; Fabrication LLC",$L$4:$L$80)</f>
        <v>144495.15</v>
      </c>
    </row>
    <row r="86" spans="1:12" s="5" customFormat="1" ht="14.25" customHeight="1" x14ac:dyDescent="0.2">
      <c r="B86" s="13">
        <v>100420</v>
      </c>
      <c r="C86" s="15" t="s">
        <v>21</v>
      </c>
      <c r="D86" s="15"/>
      <c r="E86" s="6"/>
      <c r="F86" s="6"/>
      <c r="G86" s="5" t="s">
        <v>41</v>
      </c>
      <c r="I86" s="1">
        <f>SUMIF($G$4:$G$80,"Alaska Musicwood Industries",$I$4:$I$80)</f>
        <v>0</v>
      </c>
      <c r="J86" s="1">
        <f>SUMIF($G$4:$G$80,"Alaska Musicwood Industries",$J$4:$J$80)</f>
        <v>0</v>
      </c>
      <c r="K86" s="1">
        <f>SUMIF($G$4:$G$80,"Alaska Musicwood Industries",$K$4:$K$80)</f>
        <v>0</v>
      </c>
      <c r="L86" s="2">
        <f>SUMIF($G$4:$G$80,"Alaska Musicwood Industries",$L$4:$L$80)</f>
        <v>0</v>
      </c>
    </row>
    <row r="87" spans="1:12" s="5" customFormat="1" ht="14.25" customHeight="1" x14ac:dyDescent="0.2">
      <c r="B87" s="13">
        <v>100430</v>
      </c>
      <c r="C87" s="15" t="s">
        <v>14</v>
      </c>
      <c r="D87" s="15"/>
      <c r="E87" s="6"/>
      <c r="F87" s="6"/>
      <c r="G87" s="5" t="s">
        <v>53</v>
      </c>
      <c r="I87" s="1">
        <f>SUMIF($G$4:$G$80,"Alaska Tonewood LLC",$I$4:$I$80)</f>
        <v>0</v>
      </c>
      <c r="J87" s="1">
        <f>SUMIF($G$4:$G$80,"Alaska Tonewood LLC",$J$4:$J$80)</f>
        <v>0</v>
      </c>
      <c r="K87" s="1">
        <f>SUMIF($G$4:$G$80,"Alaska Tonewood LLC",$K$4:$K$80)</f>
        <v>0</v>
      </c>
      <c r="L87" s="2">
        <f>SUMIF($G$4:$G$80,"Alaska Tonewood LLC",$L$4:$L$80)</f>
        <v>0</v>
      </c>
    </row>
    <row r="88" spans="1:12" s="5" customFormat="1" ht="14.25" customHeight="1" x14ac:dyDescent="0.2">
      <c r="B88" s="13">
        <v>100521</v>
      </c>
      <c r="C88" s="15" t="s">
        <v>12</v>
      </c>
      <c r="D88" s="15"/>
      <c r="E88" s="6"/>
      <c r="F88" s="6"/>
      <c r="G88" s="5" t="s">
        <v>4</v>
      </c>
      <c r="I88" s="1">
        <f>SUMIF($G$4:$G$80,"Alcan Forest Products LLP",$I$4:$I$80)</f>
        <v>0</v>
      </c>
      <c r="J88" s="1">
        <f>SUMIF($G$4:$G$80,"Alcan Forest Products LLP",$J$4:$J$80)</f>
        <v>0</v>
      </c>
      <c r="K88" s="1">
        <f>SUMIF($G$4:$G$80,"Alcan Forest Products LLP",$K$4:$K$80)</f>
        <v>0</v>
      </c>
      <c r="L88" s="2">
        <f>SUMIF($G$4:$G$80,"Alcan Forest Products LLP",$L$4:$L$80)</f>
        <v>0</v>
      </c>
    </row>
    <row r="89" spans="1:12" s="5" customFormat="1" ht="14.25" customHeight="1" x14ac:dyDescent="0.2">
      <c r="B89" s="13">
        <v>100522</v>
      </c>
      <c r="C89" s="15" t="s">
        <v>13</v>
      </c>
      <c r="D89" s="15"/>
      <c r="E89" s="6"/>
      <c r="F89" s="6"/>
      <c r="G89" s="5" t="s">
        <v>44</v>
      </c>
      <c r="I89" s="1">
        <f>SUMIF($G$4:$G$80,"Alcan Timber Inc",$I$4:$I$80)</f>
        <v>304.64</v>
      </c>
      <c r="J89" s="1">
        <f>SUMIF($G$4:$G$80,"Alcan Timber Inc",$J$4:$J$80)</f>
        <v>304.64</v>
      </c>
      <c r="K89" s="1">
        <f>SUMIF($G$4:$G$80,"Alcan Timber Inc",$K$4:$K$80)</f>
        <v>0</v>
      </c>
      <c r="L89" s="2">
        <f>SUMIF($G$4:$G$80,"Alcan Timber Inc",$L$4:$L$80)</f>
        <v>0</v>
      </c>
    </row>
    <row r="90" spans="1:12" s="5" customFormat="1" ht="14.25" customHeight="1" x14ac:dyDescent="0.2">
      <c r="B90" s="13">
        <v>100531</v>
      </c>
      <c r="C90" s="15" t="s">
        <v>22</v>
      </c>
      <c r="D90" s="15"/>
      <c r="E90" s="6"/>
      <c r="F90" s="6"/>
      <c r="G90" s="5" t="s">
        <v>106</v>
      </c>
      <c r="I90" s="1">
        <f>SUMIF($G$4:$G$80,"Andrew Cowan",$I$4:$I$80)</f>
        <v>4.1900000000000004</v>
      </c>
      <c r="J90" s="1">
        <f>SUMIF($G$4:$G$80,"Andrew Cowan",$J$4:$J$80)</f>
        <v>4.1900000000000004</v>
      </c>
      <c r="K90" s="1">
        <f>SUMIF($G$4:$G$80,"Andrew Cowan",$K$4:$K$80)</f>
        <v>0</v>
      </c>
      <c r="L90" s="2">
        <f>SUMIF($G$4:$G$80,"Andrew Cowan",$L$4:$L$80)</f>
        <v>255.34</v>
      </c>
    </row>
    <row r="91" spans="1:12" s="5" customFormat="1" ht="14.25" customHeight="1" x14ac:dyDescent="0.2">
      <c r="B91" s="13">
        <v>100532</v>
      </c>
      <c r="C91" s="15" t="s">
        <v>8</v>
      </c>
      <c r="D91" s="15"/>
      <c r="E91" s="6"/>
      <c r="F91" s="6"/>
      <c r="G91" s="5" t="s">
        <v>85</v>
      </c>
      <c r="I91" s="1">
        <f>SUMIF($G$4:$G$80,"Andrews and Sons LLC",$I$4:$I$80)</f>
        <v>0</v>
      </c>
      <c r="J91" s="1">
        <f>SUMIF($G$4:$G$80,"Andrews and Sons LLC",$J$4:$J$80)</f>
        <v>0</v>
      </c>
      <c r="K91" s="1">
        <f>SUMIF($G$4:$G$80,"Andrews and Sons LLC",$K$4:$K$80)</f>
        <v>0</v>
      </c>
      <c r="L91" s="2">
        <f>SUMIF($G$4:$G$80,"Andrews and Sons LLC",$L$4:$L$80)</f>
        <v>0</v>
      </c>
    </row>
    <row r="92" spans="1:12" s="5" customFormat="1" ht="14.25" customHeight="1" x14ac:dyDescent="0.2">
      <c r="B92" s="13">
        <v>100533</v>
      </c>
      <c r="C92" s="15" t="s">
        <v>11</v>
      </c>
      <c r="D92" s="15"/>
      <c r="E92" s="6"/>
      <c r="F92" s="6"/>
      <c r="G92" s="5" t="s">
        <v>144</v>
      </c>
      <c r="I92" s="1">
        <f>SUMIF($G$4:$G$80,"Austin Chapman",$I$4:$I$80)</f>
        <v>40</v>
      </c>
      <c r="J92" s="1">
        <f>SUMIF($G$4:$G$80,"Austin Chapman",$J$4:$J$80)</f>
        <v>40</v>
      </c>
      <c r="K92" s="1">
        <f>SUMIF($G$4:$G$80,"Austin Chapman",$K$4:$K$80)</f>
        <v>0</v>
      </c>
      <c r="L92" s="2">
        <f>SUMIF($G$4:$G$80,"Austin Chapman",$L$4:$L$80)</f>
        <v>0</v>
      </c>
    </row>
    <row r="93" spans="1:12" s="5" customFormat="1" ht="14.25" customHeight="1" x14ac:dyDescent="0.2">
      <c r="B93" s="13">
        <v>100534</v>
      </c>
      <c r="C93" s="15" t="s">
        <v>23</v>
      </c>
      <c r="D93" s="15"/>
      <c r="E93" s="6"/>
      <c r="F93" s="6"/>
      <c r="G93" s="5" t="s">
        <v>149</v>
      </c>
      <c r="I93" s="1">
        <f>SUMIF($G$4:$G$80,"Ben Newton",$I$4:$I$80)</f>
        <v>4.99</v>
      </c>
      <c r="J93" s="1">
        <f>SUMIF($G$4:$G$80,"Ben Newton",$J$4:$J$80)</f>
        <v>0</v>
      </c>
      <c r="K93" s="1">
        <f>SUMIF($G$4:$G$80,"Ben Newton",$K$4:$K$80)</f>
        <v>4.99</v>
      </c>
      <c r="L93" s="2">
        <f>SUMIF($G$4:$G$80,"Ben Newton",$L$4:$L$80)</f>
        <v>9.98</v>
      </c>
    </row>
    <row r="94" spans="1:12" s="5" customFormat="1" ht="14.25" customHeight="1" x14ac:dyDescent="0.2">
      <c r="B94" s="13">
        <v>100535</v>
      </c>
      <c r="C94" s="15" t="s">
        <v>6</v>
      </c>
      <c r="D94" s="15"/>
      <c r="E94" s="6"/>
      <c r="F94" s="6"/>
      <c r="G94" s="5" t="s">
        <v>140</v>
      </c>
      <c r="I94" s="1">
        <f>SUMIF($G$4:$G$80,"Brent Cole",$I$4:$I$80)</f>
        <v>0</v>
      </c>
      <c r="J94" s="1">
        <f>SUMIF($G$4:$G$80,"Brent Cole",$J$4:$J$80)</f>
        <v>0</v>
      </c>
      <c r="K94" s="1">
        <f>SUMIF($G$4:$G$80,"Brent Cole",$K$4:$K$80)</f>
        <v>0</v>
      </c>
      <c r="L94" s="2">
        <f>SUMIF($G$4:$G$80,"Brent Cole",$L$4:$L$80)</f>
        <v>0</v>
      </c>
    </row>
    <row r="95" spans="1:12" s="5" customFormat="1" ht="14.25" customHeight="1" x14ac:dyDescent="0.2">
      <c r="B95" s="13">
        <v>100551</v>
      </c>
      <c r="C95" s="15" t="s">
        <v>9</v>
      </c>
      <c r="D95" s="15"/>
      <c r="E95" s="6"/>
      <c r="F95" s="6"/>
      <c r="G95" s="5" t="s">
        <v>145</v>
      </c>
      <c r="I95" s="1">
        <f>SUMIF($G$4:$G$80,"Coeur Alaska Inc.",$I$4:$I$80)</f>
        <v>1302.57</v>
      </c>
      <c r="J95" s="1">
        <f>SUMIF($G$4:$G$80,"Coeur Alaska Inc.",$J$4:$J$80)</f>
        <v>0</v>
      </c>
      <c r="K95" s="1">
        <f>SUMIF($G$4:$G$80,"Coeur Alaska Inc.",$K$4:$K$80)</f>
        <v>1302.57</v>
      </c>
      <c r="L95" s="2">
        <f>SUMIF($G$4:$G$80,"Coeur Alaska Inc.",$L$4:$L$80)</f>
        <v>5408.98</v>
      </c>
    </row>
    <row r="96" spans="1:12" s="5" customFormat="1" ht="14.25" customHeight="1" x14ac:dyDescent="0.2">
      <c r="B96" s="13">
        <v>100552</v>
      </c>
      <c r="C96" s="15" t="s">
        <v>10</v>
      </c>
      <c r="D96" s="15"/>
      <c r="E96" s="6"/>
      <c r="F96" s="6"/>
      <c r="G96" s="5" t="s">
        <v>255</v>
      </c>
      <c r="I96" s="1">
        <f>SUMIF($G$4:$G$80,"Charles Campbell",$I$4:$I$80)</f>
        <v>28</v>
      </c>
      <c r="J96" s="1">
        <f>SUMIF($G$4:$G$80,"Charles Campbell",$J$4:$J$80)</f>
        <v>0</v>
      </c>
      <c r="K96" s="1">
        <f>SUMIF($G$4:$G$80,"Charles Campbell",$K$4:$K$80)</f>
        <v>28</v>
      </c>
      <c r="L96" s="2">
        <f>SUMIF($G$4:$G$80,"Charles Campbell",$L$4:$L$80)</f>
        <v>3248</v>
      </c>
    </row>
    <row r="97" spans="2:12" s="5" customFormat="1" ht="14.25" customHeight="1" x14ac:dyDescent="0.2">
      <c r="B97" s="13">
        <v>100554</v>
      </c>
      <c r="C97" s="15" t="s">
        <v>7</v>
      </c>
      <c r="D97" s="15"/>
      <c r="E97" s="6"/>
      <c r="F97" s="6"/>
      <c r="G97" s="5" t="s">
        <v>121</v>
      </c>
      <c r="I97" s="1">
        <f>SUMIF($G$4:$G$80,"Daniel Fanning",$I$4:$I$80)</f>
        <v>161.22</v>
      </c>
      <c r="J97" s="1">
        <f>SUMIF($G$4:$G$80,"Daniel Fanning",$J$4:$J$80)</f>
        <v>0</v>
      </c>
      <c r="K97" s="1">
        <f>SUMIF($G$4:$G$80,"Daniel Fanning",$K$4:$K$80)</f>
        <v>161.22</v>
      </c>
      <c r="L97" s="2">
        <f>SUMIF($G$4:$G$80,"Daniel Fanning",$L$4:$L$80)</f>
        <v>22783.21</v>
      </c>
    </row>
    <row r="98" spans="2:12" s="5" customFormat="1" ht="14.25" customHeight="1" x14ac:dyDescent="0.2">
      <c r="B98" s="13"/>
      <c r="C98" s="15"/>
      <c r="D98" s="15"/>
      <c r="E98" s="6"/>
      <c r="F98" s="6"/>
      <c r="G98" s="5" t="s">
        <v>170</v>
      </c>
      <c r="I98" s="1">
        <f>SUMIF($G$4:$G$80,"David A. Moyer",$I$4:$I$80)</f>
        <v>0</v>
      </c>
      <c r="J98" s="1">
        <f>SUMIF($G$4:$G$80,"David A. Moyer",$J$4:$J$80)</f>
        <v>0</v>
      </c>
      <c r="K98" s="1">
        <f>SUMIF($G$4:$G$80,"David A. Moyer",$K$4:$K$80)</f>
        <v>0</v>
      </c>
      <c r="L98" s="2">
        <f>SUMIF($G$4:$G$80,"David A. Moyer",$L$4:$L$80)</f>
        <v>0</v>
      </c>
    </row>
    <row r="99" spans="2:12" s="5" customFormat="1" ht="14.25" customHeight="1" x14ac:dyDescent="0.2">
      <c r="D99" s="15"/>
      <c r="E99" s="6"/>
      <c r="F99" s="6"/>
      <c r="G99" s="5" t="s">
        <v>226</v>
      </c>
      <c r="I99" s="1">
        <f>SUMIF($G$4:$G$80,"David Stirling",$I$4:$I$80)</f>
        <v>6.61</v>
      </c>
      <c r="J99" s="1">
        <f>SUMIF($G$4:$G$80,"David Stirling",$J$4:$J$80)</f>
        <v>0</v>
      </c>
      <c r="K99" s="1">
        <f>SUMIF($G$4:$G$80,"David Stirling",$K$4:$K$80)</f>
        <v>6.61</v>
      </c>
      <c r="L99" s="2">
        <f>SUMIF($G$4:$G$80,"David Stirling",$L$4:$L$80)</f>
        <v>1206.8</v>
      </c>
    </row>
    <row r="100" spans="2:12" s="5" customFormat="1" ht="14.25" customHeight="1" x14ac:dyDescent="0.2">
      <c r="B100" s="13"/>
      <c r="C100" s="15"/>
      <c r="D100" s="15"/>
      <c r="E100" s="6"/>
      <c r="F100" s="6"/>
      <c r="G100" s="5" t="s">
        <v>97</v>
      </c>
      <c r="I100" s="1">
        <f>SUMIF($G$4:$G$80,"Ernie Eads",$I$4:$I$80)</f>
        <v>0</v>
      </c>
      <c r="J100" s="1">
        <f>SUMIF($G$4:$G$80,"Ernie Eads",$J$4:$J$80)</f>
        <v>0</v>
      </c>
      <c r="K100" s="1">
        <f>SUMIF($G$4:$G$80,"Ernie Eads",$K$4:$K$80)</f>
        <v>0</v>
      </c>
      <c r="L100" s="2">
        <f>SUMIF($G$4:$G$80,"Ernie Eads",$L$4:$L$80)</f>
        <v>0</v>
      </c>
    </row>
    <row r="101" spans="2:12" s="5" customFormat="1" ht="14.25" customHeight="1" x14ac:dyDescent="0.2">
      <c r="B101" s="13"/>
      <c r="C101" s="15"/>
      <c r="D101" s="15"/>
      <c r="E101" s="6"/>
      <c r="F101" s="6"/>
      <c r="G101" s="5" t="s">
        <v>206</v>
      </c>
      <c r="I101" s="1">
        <f>SUMIF($G$4:$G$80,"Evergreen Alaska Inc.",$I$4:$I$80)</f>
        <v>0</v>
      </c>
      <c r="J101" s="1">
        <f>SUMIF($G$4:$G$80,"Evergreen Alaska Inc.",$J$4:$J$80)</f>
        <v>0</v>
      </c>
      <c r="K101" s="1">
        <f>SUMIF($G$4:$G$80,"Evergreen Alaska Inc.",$K$4:$K$80)</f>
        <v>0</v>
      </c>
      <c r="L101" s="2">
        <f>SUMIF($G$4:$G$80,"Evergreen Alaska Inc.",$L$4:$L$80)</f>
        <v>0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5" t="s">
        <v>132</v>
      </c>
      <c r="I102" s="1">
        <f>SUMIF($G$4:$G$80,"Fair &amp; Square Lumber &amp; Milling",$I$4:$I$80)</f>
        <v>0</v>
      </c>
      <c r="J102" s="1">
        <f>SUMIF($G$4:$G$80,"Fair &amp; Square Lumber &amp; Milling",$J$4:$J$80)</f>
        <v>0</v>
      </c>
      <c r="K102" s="1">
        <f>SUMIF($G$4:$G$80,"Fair &amp; Square Lumber &amp; Milling",$K$4:$K$80)</f>
        <v>0</v>
      </c>
      <c r="L102" s="2">
        <f>SUMIF($G$4:$G$80,"Fair &amp; Square Lumber &amp; Milling",$L$4:$L$80)</f>
        <v>0</v>
      </c>
    </row>
    <row r="103" spans="2:12" s="5" customFormat="1" ht="14.25" customHeight="1" x14ac:dyDescent="0.2">
      <c r="B103" s="13"/>
      <c r="C103" s="15"/>
      <c r="D103" s="15"/>
      <c r="E103" s="6"/>
      <c r="F103" s="6"/>
      <c r="G103" s="22" t="s">
        <v>193</v>
      </c>
      <c r="I103" s="1">
        <f>SUMIF($G$4:$G$80,"Frederick LaCour",$I$4:$I$80)</f>
        <v>9.35</v>
      </c>
      <c r="J103" s="1">
        <f>SUMIF($G$4:$G$80,"Frederick LaCour",$J$4:$J$80)</f>
        <v>0</v>
      </c>
      <c r="K103" s="1">
        <f>SUMIF($G$4:$G$80,"Frederick LaCour",$K$4:$K$80)</f>
        <v>9.35</v>
      </c>
      <c r="L103" s="2">
        <f>SUMIF($G$4:$G$80,"Frederick LaCour",$L$4:$L$80)</f>
        <v>1000.45</v>
      </c>
    </row>
    <row r="104" spans="2:12" s="5" customFormat="1" ht="14.25" customHeight="1" x14ac:dyDescent="0.2">
      <c r="B104" s="13"/>
      <c r="C104" s="15"/>
      <c r="D104" s="13"/>
      <c r="E104" s="6"/>
      <c r="F104" s="6"/>
      <c r="G104" s="5" t="s">
        <v>155</v>
      </c>
      <c r="I104" s="1">
        <f>SUMIF($G$4:$G$80,"Gordon W Chew",$I$4:$I$80)</f>
        <v>35.47</v>
      </c>
      <c r="J104" s="1">
        <f>SUMIF($G$4:$G$80,"Gordon W Chew",$J$4:$J$80)</f>
        <v>29.02</v>
      </c>
      <c r="K104" s="1">
        <f>SUMIF($G$4:$G$80,"Gordon W Chew",$K$4:$K$80)</f>
        <v>6.4499999999999993</v>
      </c>
      <c r="L104" s="2">
        <f>SUMIF($G$4:$G$80,"Gordon W Chew",$L$4:$L$80)</f>
        <v>13.61</v>
      </c>
    </row>
    <row r="105" spans="2:12" s="5" customFormat="1" ht="14.25" customHeight="1" x14ac:dyDescent="0.2">
      <c r="B105" s="13"/>
      <c r="C105" s="15"/>
      <c r="D105" s="13"/>
      <c r="E105" s="6"/>
      <c r="F105" s="6"/>
      <c r="G105" s="30" t="s">
        <v>29</v>
      </c>
      <c r="I105" s="1">
        <f>SUMIF($G$4:$G$80,"Hecla Greens Creek Mining",$I$4:$I$80)</f>
        <v>902.96</v>
      </c>
      <c r="J105" s="1">
        <f>SUMIF($G$4:$G$80,"Hecla Greens Creek Mining",$J$4:$J$80)</f>
        <v>186.33</v>
      </c>
      <c r="K105" s="1">
        <f>SUMIF($G$4:$G$80,"Hecla Greens Creek Mining",$K$4:$K$80)</f>
        <v>716.63</v>
      </c>
      <c r="L105" s="2">
        <f>SUMIF($G$4:$G$80,"Hecla Greens Creek Mining",$L$4:$L$80)</f>
        <v>11282.17</v>
      </c>
    </row>
    <row r="106" spans="2:12" s="5" customFormat="1" ht="14.25" customHeight="1" x14ac:dyDescent="0.2">
      <c r="B106" s="13"/>
      <c r="C106" s="15"/>
      <c r="D106" s="15"/>
      <c r="E106" s="6"/>
      <c r="F106" s="6"/>
      <c r="G106" s="5" t="s">
        <v>30</v>
      </c>
      <c r="I106" s="1">
        <f>SUMIF($G$4:$G$80,"Henry Drechnowicz",$I$4:$I$80)</f>
        <v>0</v>
      </c>
      <c r="J106" s="1">
        <f>SUMIF($G$4:$G$80,"Henry Drechnowicz",$J$4:$J$80)</f>
        <v>0</v>
      </c>
      <c r="K106" s="1">
        <f>SUMIF($G$4:$G$80,"Henry Drechnowicz",$K$4:$K$80)</f>
        <v>0</v>
      </c>
      <c r="L106" s="2">
        <f>SUMIF($G$4:$G$80,"Henry Drechnowicz",$L$4:$L$80)</f>
        <v>0</v>
      </c>
    </row>
    <row r="107" spans="2:12" s="5" customFormat="1" ht="14.25" customHeight="1" x14ac:dyDescent="0.2">
      <c r="B107" s="13"/>
      <c r="C107" s="15"/>
      <c r="D107" s="15"/>
      <c r="E107" s="6"/>
      <c r="F107" s="6"/>
      <c r="G107" s="5" t="s">
        <v>5</v>
      </c>
      <c r="I107" s="1">
        <f>SUMIF($G$4:$G$80,"Icy Straits Lumber &amp; Mill",$I$4:$I$80)</f>
        <v>504.94000000000005</v>
      </c>
      <c r="J107" s="1">
        <f t="array" ref="J107">SUMIF($G$4:$G$80,"Icy Straits Lumber &amp; Mill",$J$4:$J$80)</f>
        <v>192.07</v>
      </c>
      <c r="K107" s="1">
        <f t="array" ref="K107">SUMIF($G$4:$G$80,"Icy Straits Lumber &amp; Mill",$K$4:$K$80)</f>
        <v>312.87</v>
      </c>
      <c r="L107" s="2">
        <f t="array" ref="L107">SUMIF($G$4:$G$80,"Icy Straits Lumber &amp; Mill",$L$4:$L$80)</f>
        <v>11852.52</v>
      </c>
    </row>
    <row r="108" spans="2:12" s="5" customFormat="1" ht="14.25" customHeight="1" x14ac:dyDescent="0.2">
      <c r="B108" s="13"/>
      <c r="C108" s="15"/>
      <c r="D108" s="15"/>
      <c r="E108" s="6"/>
      <c r="F108" s="6"/>
      <c r="G108" s="5" t="s">
        <v>103</v>
      </c>
      <c r="I108" s="1">
        <f>SUMIF($G$4:$G$80,"James Stevens",$I$4:$I$80)</f>
        <v>156</v>
      </c>
      <c r="J108" s="1">
        <f>SUMIF($G$4:$G$80,"James Stevens",$J$4:$J$80)</f>
        <v>0</v>
      </c>
      <c r="K108" s="1">
        <f>SUMIF($G$4:$G$80,"James Stevens",$K$4:$K$80)</f>
        <v>156</v>
      </c>
      <c r="L108" s="2">
        <f>SUMIF($G$4:$G$80,"James Stevens",$L$4:$L$80)</f>
        <v>31251.96</v>
      </c>
    </row>
    <row r="109" spans="2:12" s="5" customFormat="1" ht="14.25" customHeight="1" x14ac:dyDescent="0.2">
      <c r="B109" s="13"/>
      <c r="C109" s="15"/>
      <c r="D109" s="15"/>
      <c r="E109" s="6"/>
      <c r="F109" s="6"/>
      <c r="G109" s="5" t="s">
        <v>100</v>
      </c>
      <c r="I109" s="1">
        <f>SUMIF($G$4:$G$80,"Jerry Baker",$I$4:$I$80)</f>
        <v>0</v>
      </c>
      <c r="J109" s="1">
        <f>SUMIF($G$4:$G$80,"Jerry Baker",$J$4:$J$80)</f>
        <v>0</v>
      </c>
      <c r="K109" s="1">
        <f>SUMIF($G$4:$G$80,"Jerry Baker",$K$4:$K$80)</f>
        <v>0</v>
      </c>
      <c r="L109" s="2">
        <f>SUMIF($G$4:$G$80,"Jerry Baker",$L$4:$L$80)</f>
        <v>0</v>
      </c>
    </row>
    <row r="110" spans="2:12" s="5" customFormat="1" ht="14.25" customHeight="1" x14ac:dyDescent="0.2">
      <c r="B110" s="15"/>
      <c r="C110" s="15"/>
      <c r="D110" s="15"/>
      <c r="E110" s="6"/>
      <c r="F110" s="6"/>
      <c r="G110" s="5" t="s">
        <v>32</v>
      </c>
      <c r="I110" s="1">
        <f>SUMIF($G$4:$G$79,"Jerod Cook",$I$4:$I$79)</f>
        <v>0</v>
      </c>
      <c r="J110" s="1">
        <f>SUMIF($G$4:$G$80,"Jerod Cook",$J$4:$J$80)</f>
        <v>0</v>
      </c>
      <c r="K110" s="1">
        <f>SUMIF($G$4:$G$80,"Jerod Cook",$K$4:$K$80)</f>
        <v>0</v>
      </c>
      <c r="L110" s="2">
        <f>SUMIF($G$4:$G$80,"Jerod Cook",$L$4:$L$80)</f>
        <v>0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99</v>
      </c>
      <c r="I111" s="1">
        <f>SUMIF($G$4:$G$79,"JK Forest Products LLC",$I$4:$I$79)</f>
        <v>1214.73</v>
      </c>
      <c r="J111" s="1">
        <f>SUMIF($G$4:$G$80,"JK Forest Products LLC",$J$4:$J$80)</f>
        <v>430.91</v>
      </c>
      <c r="K111" s="1">
        <f>SUMIF($G$4:$G$80,"JK Forest Products LLC",$K$4:$K$80)</f>
        <v>783.81999999999982</v>
      </c>
      <c r="L111" s="2">
        <f>SUMIF($G$4:$G$80,"JK Forest Products LLC",$L$4:$L$80)</f>
        <v>20311.760000000002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148</v>
      </c>
      <c r="I112" s="1">
        <f>SUMIF($G$4:$G$79,"Joshua Shoop",$I$4:$I$79)</f>
        <v>0</v>
      </c>
      <c r="J112" s="1">
        <f>SUMIF($G$4:$G$80,"Joshua Shoop",$J$4:$J$80)</f>
        <v>0</v>
      </c>
      <c r="K112" s="1">
        <f>SUMIF($G$4:$G$80,"Joshua Shoop",$K$4:$K$80)</f>
        <v>0</v>
      </c>
      <c r="L112" s="2">
        <f>SUMIF($G$4:$G$80,"Joshua Shoop",$L$4:$L$80)</f>
        <v>0</v>
      </c>
    </row>
    <row r="113" spans="2:12" s="5" customFormat="1" ht="14.25" customHeight="1" x14ac:dyDescent="0.2">
      <c r="B113" s="15"/>
      <c r="C113" s="15"/>
      <c r="D113" s="15"/>
      <c r="E113" s="6"/>
      <c r="F113" s="6"/>
      <c r="G113" s="5" t="s">
        <v>43</v>
      </c>
      <c r="I113" s="1">
        <f>SUMIF($G$4:$G$80,"K &amp; D Lumber",$I$4:$I$80)</f>
        <v>523.75</v>
      </c>
      <c r="J113" s="1">
        <f>SUMIF($G$4:$G$80,"K &amp; D Lumber",$J$4:$J$80)</f>
        <v>93.59</v>
      </c>
      <c r="K113" s="1">
        <f>SUMIF($G$4:$G$80,"K &amp; D Lumber",$K$4:$K$80)</f>
        <v>430.15999999999997</v>
      </c>
      <c r="L113" s="2">
        <f>SUMIF($G$4:$G$80,"K &amp; D Lumber",$L$4:$L$80)</f>
        <v>78304.02</v>
      </c>
    </row>
    <row r="114" spans="2:12" s="5" customFormat="1" ht="14.25" customHeight="1" x14ac:dyDescent="0.2">
      <c r="B114" s="15"/>
      <c r="C114" s="15"/>
      <c r="D114" s="15"/>
      <c r="E114" s="6"/>
      <c r="F114" s="6"/>
      <c r="G114" s="5" t="s">
        <v>112</v>
      </c>
      <c r="I114" s="1">
        <f>SUMIF($G$4:$G$80,"Kari Baekkelund",$I$4:$I$80)</f>
        <v>0</v>
      </c>
      <c r="J114" s="1">
        <f>SUMIF($G$4:$G$80,"Kari Baekkelund",$J$4:$J$80)</f>
        <v>0</v>
      </c>
      <c r="K114" s="1">
        <f>SUMIF($G$4:$G$80,"Kari Baekkelund",$K$4:$K$80)</f>
        <v>0</v>
      </c>
      <c r="L114" s="2">
        <f>SUMIF($G$4:$G$80,"Kari Baekkelund",$L$4:$L$80)</f>
        <v>0</v>
      </c>
    </row>
    <row r="115" spans="2:12" s="5" customFormat="1" ht="14.25" customHeight="1" x14ac:dyDescent="0.2">
      <c r="B115" s="15"/>
      <c r="C115" s="15"/>
      <c r="D115" s="15"/>
      <c r="E115" s="6"/>
      <c r="F115" s="6"/>
      <c r="G115" s="5" t="s">
        <v>138</v>
      </c>
      <c r="I115" s="1">
        <f>SUMIF($G$4:$G$80,"Kevin Merry",$I$4:$I$80)</f>
        <v>0</v>
      </c>
      <c r="J115" s="1">
        <f>SUMIF($G$4:$G$80,"Kevin Merry",$J$4:$J$80)</f>
        <v>0</v>
      </c>
      <c r="K115" s="1">
        <f>SUMIF($G$4:$G$80,"Kevin Merry",$K$4:$K$80)</f>
        <v>0</v>
      </c>
      <c r="L115" s="2">
        <f>SUMIF($G$4:$G$80,"Kevin Merry",$L$4:$L$80)</f>
        <v>0</v>
      </c>
    </row>
    <row r="116" spans="2:12" s="5" customFormat="1" ht="14.25" customHeight="1" x14ac:dyDescent="0.2">
      <c r="B116" s="15"/>
      <c r="C116" s="15"/>
      <c r="D116" s="15"/>
      <c r="E116" s="6"/>
      <c r="F116" s="6"/>
      <c r="G116" s="5" t="s">
        <v>220</v>
      </c>
      <c r="I116" s="1">
        <f>SUMIF($G$4:$G$80,"Korbin Crew",$I$4:$I$80)</f>
        <v>15.89</v>
      </c>
      <c r="J116" s="1">
        <f>SUMIF($G$4:$G$80,"Korbin Crew",$J$4:$J$80)</f>
        <v>0</v>
      </c>
      <c r="K116" s="1">
        <f>SUMIF($G$4:$G$80,"Korbin Crew",$K$4:$K$80)</f>
        <v>15.89</v>
      </c>
      <c r="L116" s="2">
        <f>SUMIF($G$4:$G$80,"Korbin Crew",$L$4:$L$80)</f>
        <v>1617.38</v>
      </c>
    </row>
    <row r="117" spans="2:12" s="5" customFormat="1" ht="14.25" customHeight="1" x14ac:dyDescent="0.2">
      <c r="B117" s="15"/>
      <c r="C117" s="15"/>
      <c r="D117" s="15"/>
      <c r="E117" s="6"/>
      <c r="F117" s="6"/>
      <c r="G117" s="5" t="s">
        <v>70</v>
      </c>
      <c r="I117" s="1">
        <f>SUMIF($G$4:$G$80,"Luther J. Coby",$I$4:$I$80)</f>
        <v>2.84</v>
      </c>
      <c r="J117" s="1">
        <f>SUMIF($G$4:$G$80,"Luther J. Coby",$J$4:$J$80)</f>
        <v>2.84</v>
      </c>
      <c r="K117" s="1">
        <f>SUMIF($G$4:$G$80,"Luther J. Coby",$K$4:$K$80)</f>
        <v>0</v>
      </c>
      <c r="L117" s="2">
        <f>SUMIF($G$4:$G$80,"Luther J. Coby",$L$4:$L$80)</f>
        <v>0</v>
      </c>
    </row>
    <row r="118" spans="2:12" s="5" customFormat="1" ht="14.25" customHeight="1" x14ac:dyDescent="0.2">
      <c r="B118" s="15"/>
      <c r="C118" s="15"/>
      <c r="D118" s="15"/>
      <c r="E118" s="6"/>
      <c r="F118" s="6"/>
      <c r="G118" s="5" t="s">
        <v>134</v>
      </c>
      <c r="I118" s="1">
        <f>SUMIF($G$4:$G$80,"Mark Mitchell",$I$4:$I$80)</f>
        <v>0</v>
      </c>
      <c r="J118" s="1">
        <f>SUMIF($G$4:$G$80,"Mark Mitchell",$J$4:$J$80)</f>
        <v>0</v>
      </c>
      <c r="K118" s="1">
        <f>SUMIF($G$4:$G$80,"Mark Mitchell",$K$4:$K$80)</f>
        <v>0</v>
      </c>
      <c r="L118" s="2">
        <f>SUMIF($G$4:$G$80,"Mark Mitchell",$L$4:$L$80)</f>
        <v>0</v>
      </c>
    </row>
    <row r="119" spans="2:12" s="5" customFormat="1" ht="14.25" customHeight="1" x14ac:dyDescent="0.2">
      <c r="B119" s="15"/>
      <c r="C119" s="15"/>
      <c r="D119" s="15"/>
      <c r="E119" s="6"/>
      <c r="F119" s="6"/>
      <c r="G119" s="5" t="s">
        <v>135</v>
      </c>
      <c r="I119" s="1">
        <f>SUMIF($G$4:$G$80,"Mike Matney",$I$4:$I$80)</f>
        <v>131.97999999999999</v>
      </c>
      <c r="J119" s="1">
        <f>SUMIF($G$4:$G$80,"Mike Matney",$J$4:$J$80)</f>
        <v>87.11</v>
      </c>
      <c r="K119" s="1">
        <f>SUMIF($G$4:$G$80,"Mike Matney",$K$4:$K$80)</f>
        <v>44.86999999999999</v>
      </c>
      <c r="L119" s="2">
        <f>SUMIF($G$4:$G$80,"Mike Matney",$L$4:$L$80)</f>
        <v>6516.2</v>
      </c>
    </row>
    <row r="120" spans="2:12" s="5" customFormat="1" ht="14.25" customHeight="1" x14ac:dyDescent="0.2">
      <c r="B120" s="15"/>
      <c r="C120" s="15"/>
      <c r="D120" s="15"/>
      <c r="E120" s="6"/>
      <c r="F120" s="6"/>
      <c r="G120" s="5" t="s">
        <v>40</v>
      </c>
      <c r="I120" s="1">
        <f>SUMIF($G$4:$G$80,"Micheal B Allen Jr",$I$4:$I$80)</f>
        <v>12454.63</v>
      </c>
      <c r="J120" s="1">
        <f>SUMIF($G$4:$G$80,"Micheal B Allen Jr",$J$4:$J$80)</f>
        <v>7330.63</v>
      </c>
      <c r="K120" s="1">
        <f>SUMIF($G$4:$G$80,"Micheal B Allen Jr",$K$4:$K$80)</f>
        <v>5123.9999999999991</v>
      </c>
      <c r="L120" s="2">
        <f>SUMIF($G$4:$G$80,"Micheal B Allen Jr",$L$4:$L$80)</f>
        <v>41064.629999999997</v>
      </c>
    </row>
    <row r="121" spans="2:12" s="5" customFormat="1" ht="14.25" customHeight="1" x14ac:dyDescent="0.2">
      <c r="B121" s="15"/>
      <c r="C121" s="15"/>
      <c r="D121" s="15"/>
      <c r="E121" s="6"/>
      <c r="F121" s="6"/>
      <c r="G121" s="5" t="s">
        <v>181</v>
      </c>
      <c r="I121" s="1">
        <f>SUMIF($G$4:$G$80,"Mitkof Milling, LLC",$I$4:$I$80)</f>
        <v>7</v>
      </c>
      <c r="J121" s="1">
        <f>SUMIF($G$4:$G$80,"Mitkof Milling, LLC",$J$4:$J$80)</f>
        <v>5.5</v>
      </c>
      <c r="K121" s="1">
        <f>SUMIF($G$4:$G$80,"Mitkof Milling, LLC",$K$4:$K$80)</f>
        <v>1.5</v>
      </c>
      <c r="L121" s="2">
        <f>SUMIF($G$4:$G$80,"Mitkof Milling, LLC",$L$4:$L$80)</f>
        <v>12.35</v>
      </c>
    </row>
    <row r="122" spans="2:12" s="5" customFormat="1" ht="14.25" customHeight="1" x14ac:dyDescent="0.2">
      <c r="B122" s="15"/>
      <c r="C122" s="15"/>
      <c r="D122" s="15"/>
      <c r="E122" s="6"/>
      <c r="F122" s="6"/>
      <c r="G122" s="5" t="s">
        <v>131</v>
      </c>
      <c r="I122" s="1">
        <f>SUMIF($G$4:$G$80,"Patrick Fowler",$I$4:$I$80)</f>
        <v>0</v>
      </c>
      <c r="J122" s="1">
        <f>SUMIF($G$4:$G$80,"Patrick Fowler",$J$4:$J$80)</f>
        <v>0</v>
      </c>
      <c r="K122" s="1">
        <f>SUMIF($G$4:$G$80,"Patrick Fowler",$K$4:$K$80)</f>
        <v>0</v>
      </c>
      <c r="L122" s="2">
        <f>SUMIF($G$4:$G$80,"Patrick Fowler",$L$4:$L$80)</f>
        <v>0</v>
      </c>
    </row>
    <row r="123" spans="2:12" s="5" customFormat="1" ht="14.25" customHeight="1" x14ac:dyDescent="0.2">
      <c r="B123" s="15"/>
      <c r="C123" s="15"/>
      <c r="D123" s="15"/>
      <c r="E123" s="6"/>
      <c r="F123" s="6"/>
      <c r="G123" s="5" t="s">
        <v>139</v>
      </c>
      <c r="I123" s="1">
        <f>SUMIF($G$4:$G$80,"Peak Engineering",$I$4:$I$80)</f>
        <v>4899.33</v>
      </c>
      <c r="J123" s="1">
        <f>SUMIF($G$4:$G$80,"Peak Engineering",$J$4:$J$80)</f>
        <v>24.11</v>
      </c>
      <c r="K123" s="1">
        <f>SUMIF($G$4:$G$80,"Peak Engineering",$K$4:$K$80)</f>
        <v>4875.22</v>
      </c>
      <c r="L123" s="2">
        <f>SUMIF($G$4:$G$80,"Peak Engineering",$L$4:$L$80)</f>
        <v>250637.87</v>
      </c>
    </row>
    <row r="124" spans="2:12" s="5" customFormat="1" ht="14.25" customHeight="1" x14ac:dyDescent="0.2">
      <c r="B124" s="15"/>
      <c r="C124" s="15"/>
      <c r="D124" s="15"/>
      <c r="E124" s="6"/>
      <c r="F124" s="6"/>
      <c r="G124" s="5" t="s">
        <v>119</v>
      </c>
      <c r="I124" s="1">
        <f>SUMIF($G$4:$G$80,"Peter J Litsheim",$I$4:$I$80)</f>
        <v>599.17999999999995</v>
      </c>
      <c r="J124" s="1">
        <f>SUMIF($G$4:$G$80,"Peter J Litsheim",$J$4:$J$80)</f>
        <v>0</v>
      </c>
      <c r="K124" s="1">
        <f>SUMIF($G$4:$G$80,"Peter J Litsheim",$K$4:$K$80)</f>
        <v>599.17999999999995</v>
      </c>
      <c r="L124" s="2">
        <f>SUMIF($G$4:$G$80,"Peter J Litsheim",$L$4:$L$80)</f>
        <v>52002.83</v>
      </c>
    </row>
    <row r="125" spans="2:12" s="5" customFormat="1" ht="14.25" customHeight="1" x14ac:dyDescent="0.2">
      <c r="B125" s="15"/>
      <c r="C125" s="15"/>
      <c r="D125" s="69"/>
      <c r="E125" s="6"/>
      <c r="F125" s="6"/>
      <c r="G125" s="5" t="s">
        <v>2</v>
      </c>
      <c r="I125" s="1">
        <f>SUMIF($G$4:$G$80,"Porter Lumber",$I$4:$I$80)</f>
        <v>0</v>
      </c>
      <c r="J125" s="1">
        <f t="array" ref="J125">SUMIF($G$4:$G$80,"Porter Lumber",$J$4:$J$80)</f>
        <v>0</v>
      </c>
      <c r="K125" s="1">
        <f t="array" ref="K125">SUMIF($G$4:$G$80,"Porter Lumber",$K$4:$K$80)</f>
        <v>0</v>
      </c>
      <c r="L125" s="2">
        <f t="array" ref="L125">SUMIF($G$4:$G$80,"Porter Lumber",$L$4:$L$80)</f>
        <v>0</v>
      </c>
    </row>
    <row r="126" spans="2:12" s="5" customFormat="1" ht="14.25" customHeight="1" x14ac:dyDescent="0.2">
      <c r="B126" s="15"/>
      <c r="C126" s="15"/>
      <c r="D126" s="15"/>
      <c r="E126" s="6"/>
      <c r="F126" s="6"/>
      <c r="G126" s="5" t="s">
        <v>34</v>
      </c>
      <c r="I126" s="1">
        <f>SUMIF($G$4:$G$80,"Ralph Dean Blankenship",$I$4:$I$80)</f>
        <v>0</v>
      </c>
      <c r="J126" s="1">
        <f>SUMIF($G$4:$G$80,"Ralph Dean Blankenship",$J$4:$J$80)</f>
        <v>0</v>
      </c>
      <c r="K126" s="1">
        <f>SUMIF($G$4:$G$80,"Ralph Dean Blankenship",$K$4:$K$80)</f>
        <v>0</v>
      </c>
      <c r="L126" s="2">
        <f>SUMIF($G$4:$G$80,"Ralph Dean Blankenship",$L$4:$L$80)</f>
        <v>0</v>
      </c>
    </row>
    <row r="127" spans="2:12" s="5" customFormat="1" ht="14.25" customHeight="1" x14ac:dyDescent="0.2">
      <c r="B127" s="15"/>
      <c r="C127" s="15"/>
      <c r="D127" s="15"/>
      <c r="E127" s="6"/>
      <c r="F127" s="6"/>
      <c r="G127" s="5" t="s">
        <v>201</v>
      </c>
      <c r="I127" s="1">
        <f>SUMIF($G$4:$G$80,"Ricky Perkins",$I$4:$I$80)</f>
        <v>4.45</v>
      </c>
      <c r="J127" s="1">
        <f>SUMIF($G$4:$G$80,"Ricky Perkins",$J$4:$J$80)</f>
        <v>4.45</v>
      </c>
      <c r="K127" s="1">
        <f>SUMIF($G$4:$G$80,"Ricky Perkins",$K$4:$K$80)</f>
        <v>0</v>
      </c>
      <c r="L127" s="2">
        <f>SUMIF($G$4:$G$80,"Ricky Perkins",$L$4:$L$80)</f>
        <v>0</v>
      </c>
    </row>
    <row r="128" spans="2:12" s="5" customFormat="1" ht="14.25" customHeight="1" x14ac:dyDescent="0.2">
      <c r="B128" s="15"/>
      <c r="C128" s="15"/>
      <c r="D128" s="15"/>
      <c r="E128" s="6"/>
      <c r="F128" s="6"/>
      <c r="G128" s="5" t="s">
        <v>229</v>
      </c>
      <c r="I128" s="1">
        <f>SUMIF($G$4:$G$80,"Second Growth Homes LLC",$I$4:$I$80)</f>
        <v>104.11000000000001</v>
      </c>
      <c r="J128" s="1">
        <f>SUMIF($G$4:$G$80,"Second Growth Homes LLC",$J$4:$J$80)</f>
        <v>0</v>
      </c>
      <c r="K128" s="1">
        <f>SUMIF($G$4:$G$80,"Second Growth Homes LLC",$K$4:$K$80)</f>
        <v>104.11000000000001</v>
      </c>
      <c r="L128" s="2">
        <f>SUMIF($G$4:$G$80,"Second Growth Homes LLC",$L$4:$L$80)</f>
        <v>7649.8700000000008</v>
      </c>
    </row>
    <row r="129" spans="1:12" s="5" customFormat="1" ht="14.25" customHeight="1" x14ac:dyDescent="0.2">
      <c r="B129" s="15"/>
      <c r="C129" s="15"/>
      <c r="D129" s="15"/>
      <c r="E129" s="6"/>
      <c r="F129" s="6"/>
      <c r="G129" s="5" t="s">
        <v>234</v>
      </c>
      <c r="I129" s="1">
        <f>SUMIF($G$4:$G$80,"Shaan-Seet Inc",$I$4:$I$80)</f>
        <v>220.99</v>
      </c>
      <c r="J129" s="1">
        <f>SUMIF($G$4:$G$80,"Shaan-Seet Inc",$J$4:$J$80)</f>
        <v>0</v>
      </c>
      <c r="K129" s="1">
        <f>SUMIF($G$4:$G$80,"Shaan-Seet Inc",$K$4:$K$80)</f>
        <v>220.99</v>
      </c>
      <c r="L129" s="2">
        <f>SUMIF($G$4:$G$80,"Shaan-Seet Inc",$L$4:$L$80)</f>
        <v>1217.54</v>
      </c>
    </row>
    <row r="130" spans="1:12" s="5" customFormat="1" ht="14.25" customHeight="1" x14ac:dyDescent="0.2">
      <c r="B130" s="15"/>
      <c r="C130" s="15"/>
      <c r="D130" s="15"/>
      <c r="E130" s="6"/>
      <c r="F130" s="6"/>
      <c r="G130" s="5" t="s">
        <v>143</v>
      </c>
      <c r="I130" s="1">
        <f>SUMIF($G$4:$G$80,"Shortcut Timber Salvage",$I$4:$I$80)</f>
        <v>0</v>
      </c>
      <c r="J130" s="1">
        <f>SUMIF($G$4:$G$80,"Shortcut Timber Salvage",$J$4:$J$80)</f>
        <v>0</v>
      </c>
      <c r="K130" s="1">
        <f>SUMIF($G$4:$G$80,"Shortcut Timber Salvage",$K$4:$K$80)</f>
        <v>0</v>
      </c>
      <c r="L130" s="2">
        <f>SUMIF($G$4:$G$80,"Shortcut Timber Salvage",$L$4:$L$80)</f>
        <v>0</v>
      </c>
    </row>
    <row r="131" spans="1:12" x14ac:dyDescent="0.2">
      <c r="B131" s="15"/>
      <c r="C131" s="15"/>
      <c r="D131" s="15"/>
      <c r="E131" s="6"/>
      <c r="F131" s="6"/>
      <c r="G131" s="5" t="s">
        <v>86</v>
      </c>
      <c r="H131" s="5"/>
      <c r="I131" s="1">
        <f>SUMIF($G$4:$G$80,"Spencer F Pitcher",$I$4:$I$80)</f>
        <v>0</v>
      </c>
      <c r="J131" s="1">
        <f>SUMIF($G$4:$G$80,"Spencer F Pitcher",$J$4:$J$80)</f>
        <v>0</v>
      </c>
      <c r="K131" s="1">
        <f>SUMIF($G$4:$G$80,"Spencer F Pitcher",$K$4:$K$80)</f>
        <v>0</v>
      </c>
      <c r="L131" s="2">
        <f>SUMIF($G$4:$G$80,"Spencer F Pitcher",$L$4:$L$80)</f>
        <v>0</v>
      </c>
    </row>
    <row r="132" spans="1:12" ht="15.4" customHeight="1" x14ac:dyDescent="0.2">
      <c r="A132" s="70"/>
      <c r="C132" s="15"/>
      <c r="D132" s="15"/>
      <c r="E132" s="6"/>
      <c r="F132" s="6"/>
      <c r="G132" s="5" t="s">
        <v>89</v>
      </c>
      <c r="H132" s="5"/>
      <c r="I132" s="1">
        <f>SUMIF($G$4:$G$80,"Sterling Chew",$I$4:$I$80)</f>
        <v>0</v>
      </c>
      <c r="J132" s="1">
        <f>SUMIF($G$4:$G$80,"Sterling Chew",$J$4:$J$80)</f>
        <v>0</v>
      </c>
      <c r="K132" s="1">
        <f>SUMIF($G$4:$G$80,"Sterling Chew",$K$4:$K$80)</f>
        <v>0</v>
      </c>
      <c r="L132" s="2">
        <f>SUMIF($G$4:$G$80,"Sterling Chew",$L$4:$L$80)</f>
        <v>0</v>
      </c>
    </row>
    <row r="133" spans="1:12" s="5" customFormat="1" x14ac:dyDescent="0.2">
      <c r="B133" s="69"/>
      <c r="C133" s="15"/>
      <c r="D133" s="15"/>
      <c r="E133" s="6"/>
      <c r="F133" s="6"/>
      <c r="G133" s="5" t="s">
        <v>215</v>
      </c>
      <c r="I133" s="1">
        <f>SUMIF($G$4:$G$80,"Steven McCord",$I$4:$I$80)</f>
        <v>2.13</v>
      </c>
      <c r="J133" s="1">
        <f>SUMIF($G$4:$G$80,"Steven McCord",$J$4:$J$80)</f>
        <v>2.13</v>
      </c>
      <c r="K133" s="1">
        <f>SUMIF($G$4:$G$80,"Steven McCord",$K$4:$K$80)</f>
        <v>0</v>
      </c>
      <c r="L133" s="2">
        <f>SUMIF($G$4:$G$80,"Steven McCord",$L$4:$L$80)</f>
        <v>0</v>
      </c>
    </row>
    <row r="134" spans="1:12" s="5" customFormat="1" x14ac:dyDescent="0.2">
      <c r="B134" s="13"/>
      <c r="C134" s="15"/>
      <c r="D134" s="15"/>
      <c r="E134" s="6"/>
      <c r="F134" s="19"/>
      <c r="G134" s="5" t="s">
        <v>87</v>
      </c>
      <c r="I134" s="1">
        <f>SUMIF($G$4:$G$80,"State of Alaska",$I$4:$I$80)</f>
        <v>2729.9</v>
      </c>
      <c r="J134" s="1">
        <f>SUMIF($G$4:$G$80,"State of Alaska",$J$4:$J$80)</f>
        <v>0</v>
      </c>
      <c r="K134" s="1">
        <f>SUMIF($G$4:$G$80,"State of Alaska",$K$4:$K$80)</f>
        <v>2729.9</v>
      </c>
      <c r="L134" s="2">
        <f>SUMIF($G$4:$G$80,"State of Alaska",$L$4:$L$80)</f>
        <v>0</v>
      </c>
    </row>
    <row r="135" spans="1:12" s="5" customFormat="1" x14ac:dyDescent="0.2">
      <c r="B135" s="13"/>
      <c r="D135" s="15"/>
      <c r="E135" s="19"/>
      <c r="F135" s="75"/>
      <c r="G135" s="5" t="s">
        <v>133</v>
      </c>
      <c r="I135" s="1">
        <f>SUMIF($G$4:$G$80,"State of Alaska, DOT &amp; Public Fac.",$I$4:$I$80)</f>
        <v>0</v>
      </c>
      <c r="J135" s="1">
        <f>SUMIF($G$4:$G$80,"State of Alaska, DOT &amp; Public Fac.",$J$4:$J$80)</f>
        <v>0</v>
      </c>
      <c r="K135" s="1">
        <f>SUMIF($G$4:$G$80,"State of Alaska, DOT &amp; Public Fac.",$K$4:$K$80)</f>
        <v>0</v>
      </c>
      <c r="L135" s="2">
        <f>SUMIF($G$4:$G$80,"State of Alaska, DOT &amp; Public Fac.",$L$4:$L$80)</f>
        <v>0</v>
      </c>
    </row>
    <row r="136" spans="1:12" s="5" customFormat="1" x14ac:dyDescent="0.2">
      <c r="B136" s="13"/>
      <c r="C136" s="15"/>
      <c r="D136" s="15"/>
      <c r="E136" s="19"/>
      <c r="F136" s="75"/>
      <c r="G136" s="5" t="s">
        <v>95</v>
      </c>
      <c r="I136" s="1">
        <f>SUMIF($G$4:$G$80,"The Nature Conservancy",$I$4:$I$80)</f>
        <v>0</v>
      </c>
      <c r="J136" s="1">
        <f>SUMIF($G$4:$G$80,"The Nature Conservancy",$J$4:$J$80)</f>
        <v>0</v>
      </c>
      <c r="K136" s="1">
        <f>SUMIF($G$4:$G$80,"The Nature Conservancy",$K$4:$K$80)</f>
        <v>0</v>
      </c>
      <c r="L136" s="2">
        <f>SUMIF($G$4:$G$80,"The Nature Conservancy",$L$4:$L$80)</f>
        <v>0</v>
      </c>
    </row>
    <row r="137" spans="1:12" s="5" customFormat="1" x14ac:dyDescent="0.2">
      <c r="B137" s="13"/>
      <c r="C137" s="15"/>
      <c r="D137" s="15"/>
      <c r="E137" s="19"/>
      <c r="F137" s="75"/>
      <c r="G137" s="5" t="s">
        <v>212</v>
      </c>
      <c r="I137" s="1">
        <f>SUMIF($G$4:$G$80,"Tideline Construction LLC",$I$4:$I$80)</f>
        <v>44.49</v>
      </c>
      <c r="J137" s="1">
        <f>SUMIF($G$4:$G$80,"Tideline Construction LLC",$J$4:$J$80)</f>
        <v>0</v>
      </c>
      <c r="K137" s="1">
        <f>SUMIF($G$4:$G$80,"Tideline Construction LLC",$K$4:$K$80)</f>
        <v>44.49</v>
      </c>
      <c r="L137" s="2">
        <f>SUMIF($G$4:$G$80,"Tideline Construction LLC",$L$4:$L$80)</f>
        <v>849.78</v>
      </c>
    </row>
    <row r="138" spans="1:12" s="5" customFormat="1" x14ac:dyDescent="0.2">
      <c r="B138" s="13"/>
      <c r="C138" s="15"/>
      <c r="D138" s="15"/>
      <c r="E138" s="19"/>
      <c r="F138" s="75"/>
      <c r="G138" s="5" t="s">
        <v>46</v>
      </c>
      <c r="I138" s="1">
        <f>SUMIF($G$4:$G$80,"T.L.C. Management, LLC",$I$4:$I$80)</f>
        <v>52.91</v>
      </c>
      <c r="J138" s="1">
        <f>SUMIF($G$4:$G$80,"T.L.C. Management, LLC",$J$4:$J$80)</f>
        <v>0</v>
      </c>
      <c r="K138" s="1">
        <f>SUMIF($G$4:$G$80,"T.L.C. Management, LLC",$K$4:$K$80)</f>
        <v>52.91</v>
      </c>
      <c r="L138" s="2">
        <f>SUMIF($G$4:$G$80,"T.L.C. Management, LLC",$L$4:$L$80)</f>
        <v>3289.21</v>
      </c>
    </row>
    <row r="139" spans="1:12" s="5" customFormat="1" x14ac:dyDescent="0.2">
      <c r="B139" s="13"/>
      <c r="C139" s="15"/>
      <c r="D139" s="15"/>
      <c r="E139" s="19"/>
      <c r="F139" s="75"/>
      <c r="G139" s="29" t="s">
        <v>203</v>
      </c>
      <c r="I139" s="37">
        <v>94.66</v>
      </c>
      <c r="J139" s="37">
        <v>94.66</v>
      </c>
      <c r="K139" s="37">
        <v>0</v>
      </c>
      <c r="L139" s="38">
        <v>0</v>
      </c>
    </row>
    <row r="140" spans="1:12" s="5" customFormat="1" x14ac:dyDescent="0.2">
      <c r="B140" s="13"/>
      <c r="C140" s="15"/>
      <c r="D140" s="15"/>
      <c r="E140" s="19"/>
      <c r="F140" s="75"/>
      <c r="G140" s="30" t="s">
        <v>157</v>
      </c>
      <c r="I140" s="1">
        <f>SUMIF($G$4:$G$80,"Vicky Hayes",$I$4:$I$80)</f>
        <v>0</v>
      </c>
      <c r="J140" s="1">
        <f>SUMIF($G$4:$G$80,"Vicky Hayes",$J$4:$J$80)</f>
        <v>0</v>
      </c>
      <c r="K140" s="1">
        <f>SUMIF($G$4:$G$80,"Vicky Hayes",$K$4:$K$80)</f>
        <v>0</v>
      </c>
      <c r="L140" s="2">
        <f>SUMIF($G$4:$G$80,"Vicky Hayes",$L$4:$L$80)</f>
        <v>0</v>
      </c>
    </row>
    <row r="141" spans="1:12" s="5" customFormat="1" x14ac:dyDescent="0.2">
      <c r="B141" s="13"/>
      <c r="C141" s="15"/>
      <c r="D141" s="15"/>
      <c r="E141" s="19"/>
      <c r="F141" s="75"/>
      <c r="G141" s="30" t="s">
        <v>223</v>
      </c>
      <c r="I141" s="1">
        <f>SUMIF($G$4:$G$80,"Victor Kauffman",$I$4:$I$80)</f>
        <v>120.5</v>
      </c>
      <c r="J141" s="1">
        <f>SUMIF($G$4:$G$80,"Victor Kauffman",$J$4:$J$80)</f>
        <v>28.5</v>
      </c>
      <c r="K141" s="1">
        <f>SUMIF($G$4:$G$80,"Victor Kauffman",$K$4:$K$80)</f>
        <v>92</v>
      </c>
      <c r="L141" s="2">
        <f>SUMIF($G$4:$G$80,"Victor Kauffman",$L$4:$L$80)</f>
        <v>5888</v>
      </c>
    </row>
    <row r="142" spans="1:12" s="5" customFormat="1" x14ac:dyDescent="0.2">
      <c r="B142" s="13"/>
      <c r="C142" s="15"/>
      <c r="D142" s="15"/>
      <c r="E142" s="19"/>
      <c r="F142" s="75"/>
      <c r="G142" s="5" t="s">
        <v>16</v>
      </c>
      <c r="I142" s="1">
        <f>SUMIF($G$4:$G$80,"Viking Lumber Company",$I$4:$I$80)</f>
        <v>133080.59</v>
      </c>
      <c r="J142" s="1">
        <f t="array" ref="J142">SUMIF($G$4:$G$80,"Viking Lumber Company",$J$4:$J$80)</f>
        <v>128865.70999999999</v>
      </c>
      <c r="K142" s="1">
        <f t="array" ref="K142">SUMIF($G$4:$G$80,"Viking Lumber Company",$K$4:$K$80)</f>
        <v>4214.880000000011</v>
      </c>
      <c r="L142" s="2">
        <f t="array" ref="L142">SUMIF($G$4:$G$80,"Viking Lumber Company",$L$4:$L$80)</f>
        <v>507152.38</v>
      </c>
    </row>
    <row r="143" spans="1:12" s="5" customFormat="1" x14ac:dyDescent="0.2">
      <c r="B143" s="13"/>
      <c r="C143" s="15"/>
      <c r="D143" s="15"/>
      <c r="E143" s="19"/>
      <c r="F143" s="75"/>
      <c r="G143" s="5" t="s">
        <v>51</v>
      </c>
      <c r="I143" s="1">
        <f>SUMIF($G$4:$G$80,"Western Gold Cedar Products",$I$4:$I$80)</f>
        <v>5395.01</v>
      </c>
      <c r="J143" s="1">
        <f>SUMIF($G$4:$G$80,"Western Gold Cedar Products",$J$4:$J$80)</f>
        <v>2188.09</v>
      </c>
      <c r="K143" s="1">
        <f>SUMIF($G$4:$G$80,"Western Gold Cedar Products",$K$4:$K$80)</f>
        <v>3206.92</v>
      </c>
      <c r="L143" s="2">
        <f>SUMIF($G$4:$G$80,"Western Gold Cedar Products",$L$4:$L$80)</f>
        <v>545304.25</v>
      </c>
    </row>
    <row r="144" spans="1:12" s="5" customFormat="1" x14ac:dyDescent="0.2">
      <c r="B144" s="13"/>
      <c r="C144" s="15"/>
      <c r="D144" s="69"/>
      <c r="E144" s="19"/>
      <c r="F144" s="75"/>
      <c r="G144" s="5" t="s">
        <v>107</v>
      </c>
      <c r="H144" s="18"/>
      <c r="I144" s="1">
        <f>SUMIF($G$4:$G$80,"William Kaufman",$I$4:$I$80)</f>
        <v>3.66</v>
      </c>
      <c r="J144" s="1">
        <f>SUMIF($G$4:$G$80,"William Kaufman",$J$4:$J$80)</f>
        <v>3.66</v>
      </c>
      <c r="K144" s="1">
        <f>SUMIF($G$4:$G$80,"William Kaufman",$K$4:$K$80)</f>
        <v>0</v>
      </c>
      <c r="L144" s="2">
        <f>SUMIF($G$4:$G$80,"William Kaufman",$L$4:$L$80)</f>
        <v>0</v>
      </c>
    </row>
    <row r="145" spans="1:12" s="5" customFormat="1" x14ac:dyDescent="0.2">
      <c r="B145" s="13"/>
      <c r="C145" s="15"/>
      <c r="D145" s="69"/>
      <c r="E145" s="19"/>
      <c r="F145" s="75"/>
      <c r="G145" s="5" t="s">
        <v>259</v>
      </c>
      <c r="H145" s="7"/>
      <c r="I145" s="80">
        <f>SUMIF($G$4:$G$80,"Wolf Co",$I$4:$I$80)</f>
        <v>424</v>
      </c>
      <c r="J145" s="80">
        <f>SUMIF($G$4:$G$80,"Wolf Co",$J$4:$J$80)</f>
        <v>0</v>
      </c>
      <c r="K145" s="80">
        <f>SUMIF($G$4:$G$80,"Wolf Co",$K$4:$K$80)</f>
        <v>424</v>
      </c>
      <c r="L145" s="81">
        <f>SUMIF($G$4:$G$80,"Wolf Co",$L$4:$L$80)</f>
        <v>32224</v>
      </c>
    </row>
    <row r="146" spans="1:12" s="5" customFormat="1" x14ac:dyDescent="0.2">
      <c r="B146" s="13"/>
      <c r="C146" s="9" t="s">
        <v>75</v>
      </c>
      <c r="D146" s="69"/>
      <c r="E146" s="19"/>
      <c r="F146" s="75"/>
      <c r="I146" s="1">
        <f>SUM(I85:I145)</f>
        <v>165733.44000000003</v>
      </c>
      <c r="J146" s="1">
        <f>SUM(J85:J145)</f>
        <v>139918.13999999998</v>
      </c>
      <c r="K146" s="1">
        <f>SUM(K85:K145)</f>
        <v>25815.30000000001</v>
      </c>
      <c r="L146" s="2">
        <f>SUM(L85:L145)</f>
        <v>1786850.24</v>
      </c>
    </row>
    <row r="147" spans="1:12" s="5" customFormat="1" x14ac:dyDescent="0.2">
      <c r="B147" s="13"/>
      <c r="C147" s="15"/>
      <c r="D147" s="69"/>
      <c r="E147" s="19"/>
      <c r="F147" s="75"/>
      <c r="G147" s="7"/>
      <c r="I147" s="1"/>
      <c r="J147" s="1"/>
      <c r="K147" s="1"/>
      <c r="L147" s="2"/>
    </row>
    <row r="148" spans="1:12" s="5" customFormat="1" x14ac:dyDescent="0.2">
      <c r="B148" s="13"/>
      <c r="C148" s="15"/>
      <c r="D148" s="69"/>
      <c r="E148" s="19"/>
      <c r="F148" s="75"/>
      <c r="G148" s="9"/>
      <c r="I148" s="1"/>
      <c r="J148" s="1"/>
      <c r="K148" s="1"/>
      <c r="L148" s="2"/>
    </row>
    <row r="149" spans="1:12" s="5" customFormat="1" x14ac:dyDescent="0.2">
      <c r="B149" s="13"/>
      <c r="C149" s="15"/>
      <c r="D149" s="69"/>
      <c r="E149" s="19"/>
      <c r="F149" s="75"/>
      <c r="G149" s="9"/>
      <c r="I149" s="1"/>
      <c r="J149" s="1"/>
      <c r="K149" s="1"/>
      <c r="L149" s="2"/>
    </row>
    <row r="150" spans="1:12" s="5" customFormat="1" ht="14.25" customHeight="1" thickBot="1" x14ac:dyDescent="0.25">
      <c r="B150" s="15"/>
      <c r="C150" s="15"/>
      <c r="D150" s="69"/>
      <c r="E150" s="11" t="s">
        <v>0</v>
      </c>
      <c r="F150" s="71"/>
      <c r="G150" s="9"/>
      <c r="I150" s="1"/>
      <c r="J150" s="1"/>
      <c r="K150" s="1"/>
      <c r="L150" s="2"/>
    </row>
    <row r="151" spans="1:12" x14ac:dyDescent="0.2">
      <c r="B151" s="15"/>
      <c r="C151" s="15"/>
      <c r="E151" s="9" t="s">
        <v>54</v>
      </c>
      <c r="F151" s="6"/>
      <c r="G151" s="9"/>
      <c r="H151" s="5"/>
      <c r="I151" s="1"/>
      <c r="J151" s="1"/>
      <c r="K151" s="1"/>
      <c r="L151" s="2"/>
    </row>
    <row r="152" spans="1:12" x14ac:dyDescent="0.2">
      <c r="C152" s="15"/>
      <c r="E152" s="9" t="s">
        <v>55</v>
      </c>
      <c r="F152" s="6"/>
      <c r="G152" s="9"/>
      <c r="H152" s="5"/>
      <c r="I152" s="1">
        <f>SUMIF($B$4:$B$80,"100410",$I$4:$I$80)</f>
        <v>0</v>
      </c>
      <c r="J152" s="1">
        <f>SUMIF($B$4:$B$80,"100410",$J$4:$J$80)</f>
        <v>0</v>
      </c>
      <c r="K152" s="1">
        <f>SUMIF($B$4:$B$80,"100410",$K$4:$K$80)</f>
        <v>0</v>
      </c>
      <c r="L152" s="2">
        <f>SUMIF($B$4:$B$80,"100410",$L$4:$L$80)</f>
        <v>0</v>
      </c>
    </row>
    <row r="153" spans="1:12" x14ac:dyDescent="0.2">
      <c r="A153" s="44" t="s">
        <v>125</v>
      </c>
      <c r="C153" s="15"/>
      <c r="E153" s="9" t="s">
        <v>56</v>
      </c>
      <c r="F153" s="6"/>
      <c r="G153" s="9"/>
      <c r="H153" s="5"/>
      <c r="I153" s="1">
        <f t="array" ref="I153">SUMIF($B$4:$B$80,"100420",$I$4:$I$80)</f>
        <v>0</v>
      </c>
      <c r="J153" s="1">
        <f t="array" ref="J153">SUMIF($B$4:$B$80,"100420",$J$4:$J$80)</f>
        <v>0</v>
      </c>
      <c r="K153" s="1">
        <f>SUMIF($B$4:$B$80,"100420",$K$4:$K$80)</f>
        <v>0</v>
      </c>
      <c r="L153" s="2">
        <f t="array" ref="L153">SUMIF($B$4:$B$80,"100420",$L$4:$L$80)</f>
        <v>0</v>
      </c>
    </row>
    <row r="154" spans="1:12" x14ac:dyDescent="0.2">
      <c r="B154" s="69" t="s">
        <v>126</v>
      </c>
      <c r="C154" s="15"/>
      <c r="E154" s="9"/>
      <c r="F154" s="6"/>
      <c r="G154" s="9"/>
      <c r="H154" s="5"/>
      <c r="I154" s="1">
        <f t="array" ref="I154">SUMIF($B$4:$B$80,"100430",$I$4:$I$80)</f>
        <v>612.5</v>
      </c>
      <c r="J154" s="1">
        <f t="array" ref="J154">SUMIF($B$4:$B$80,"100430",$J$4:$J$80)</f>
        <v>68.5</v>
      </c>
      <c r="K154" s="1">
        <f t="array" ref="K154">SUMIF($B$4:$B$80,"100430",$K$4:$K$80)</f>
        <v>544</v>
      </c>
      <c r="L154" s="2">
        <f t="array" ref="L154">SUMIF($B$4:$B$80,"100430",$L$4:$L$80)</f>
        <v>41360</v>
      </c>
    </row>
    <row r="155" spans="1:12" ht="15.75" thickBot="1" x14ac:dyDescent="0.25">
      <c r="C155" s="15"/>
      <c r="E155" s="10" t="s">
        <v>3</v>
      </c>
      <c r="F155" s="71"/>
      <c r="G155" s="9"/>
      <c r="H155" s="5"/>
      <c r="I155" s="1"/>
      <c r="J155" s="1"/>
      <c r="K155" s="1"/>
      <c r="L155" s="2"/>
    </row>
    <row r="156" spans="1:12" x14ac:dyDescent="0.2">
      <c r="C156" s="15"/>
      <c r="E156" s="9" t="s">
        <v>57</v>
      </c>
      <c r="F156" s="6"/>
      <c r="G156" s="9"/>
      <c r="H156" s="5"/>
      <c r="I156" s="1"/>
      <c r="J156" s="1"/>
      <c r="K156" s="1"/>
      <c r="L156" s="2"/>
    </row>
    <row r="157" spans="1:12" x14ac:dyDescent="0.2">
      <c r="C157" s="15"/>
      <c r="E157" s="9" t="s">
        <v>58</v>
      </c>
      <c r="F157" s="6"/>
      <c r="G157" s="9"/>
      <c r="H157" s="5"/>
      <c r="I157" s="1">
        <f>SUMIF($B$4:$B$80,"100521",$I$4:$I$80)</f>
        <v>5528.59</v>
      </c>
      <c r="J157" s="1">
        <f t="array" ref="J157">SUMIF($B$4:$B$80,"100521",$J$4:$J$80)</f>
        <v>41.090000000000011</v>
      </c>
      <c r="K157" s="1">
        <f t="array" ref="K157">SUMIF($B$4:$B$80,"100521",$K$4:$K$80)</f>
        <v>5487.5</v>
      </c>
      <c r="L157" s="2">
        <f t="array" ref="L157">SUMIF($B$4:$B$80,"100521",$L$4:$L$80)</f>
        <v>304125.17</v>
      </c>
    </row>
    <row r="158" spans="1:12" x14ac:dyDescent="0.2">
      <c r="A158" s="72"/>
      <c r="C158" s="15"/>
      <c r="E158" s="9" t="s">
        <v>59</v>
      </c>
      <c r="F158" s="6"/>
      <c r="G158" s="9"/>
      <c r="H158" s="5"/>
      <c r="I158" s="1">
        <f t="array" ref="I158">SUMIF($B$4:$B$80,"100522",$I$4:$I$80)</f>
        <v>12586.609999999999</v>
      </c>
      <c r="J158" s="1">
        <f t="array" ref="J158">SUMIF($B$4:$B$80,"100522",$J$4:$J$80)</f>
        <v>7417.74</v>
      </c>
      <c r="K158" s="1">
        <f t="array" ref="K158">SUMIF($B$4:$B$80,"100522",$K$4:$K$80)</f>
        <v>5168.869999999999</v>
      </c>
      <c r="L158" s="2">
        <f t="array" ref="L158">SUMIF($B$4:$B$80,"100522",$L$4:$L$80)</f>
        <v>47580.829999999994</v>
      </c>
    </row>
    <row r="159" spans="1:12" x14ac:dyDescent="0.2">
      <c r="C159" s="15"/>
      <c r="E159" s="9" t="s">
        <v>60</v>
      </c>
      <c r="F159" s="6"/>
      <c r="G159" s="9"/>
      <c r="H159" s="5"/>
      <c r="I159" s="1">
        <f t="array" ref="I159">SUMIF($B$4:$B$80,"100531",$I$4:$I$80)</f>
        <v>286.76</v>
      </c>
      <c r="J159" s="1">
        <f t="array" ref="J159">SUMIF($B$4:$B$80,"100531",$J$4:$J$80)</f>
        <v>123.67999999999999</v>
      </c>
      <c r="K159" s="1">
        <f t="array" ref="K159">SUMIF($B$4:$B$80,"100531",$K$4:$K$80)</f>
        <v>163.08000000000001</v>
      </c>
      <c r="L159" s="2">
        <f t="array" ref="L159">SUMIF($B$4:$B$80,"100531",$L$4:$L$80)</f>
        <v>6302.66</v>
      </c>
    </row>
    <row r="160" spans="1:12" x14ac:dyDescent="0.2">
      <c r="E160" s="9" t="s">
        <v>61</v>
      </c>
      <c r="F160" s="6"/>
      <c r="G160" s="9"/>
      <c r="H160" s="5"/>
      <c r="I160" s="1">
        <f>SUMIF($B$4:$B$80,"100532",$I$4:$I$80)</f>
        <v>711.04</v>
      </c>
      <c r="J160" s="1">
        <f t="array" ref="J160">SUMIF($B$4:$B$80,"100532",$J$4:$J$80)</f>
        <v>192.07</v>
      </c>
      <c r="K160" s="1">
        <f t="array" ref="K160">SUMIF($B$4:$B$80,"100532",$K$4:$K$80)</f>
        <v>518.97</v>
      </c>
      <c r="L160" s="2">
        <f t="array" ref="L160">SUMIF($B$4:$B$80,"100532",$L$4:$L$80)</f>
        <v>40135.54</v>
      </c>
    </row>
    <row r="161" spans="3:12" x14ac:dyDescent="0.2">
      <c r="E161" s="9" t="s">
        <v>62</v>
      </c>
      <c r="F161" s="6"/>
      <c r="G161" s="9"/>
      <c r="H161" s="5"/>
      <c r="I161" s="1">
        <f t="array" ref="I161">SUMIF($B$4:$B$80,"100533",$I$4:$I$80)</f>
        <v>2198.4899999999998</v>
      </c>
      <c r="J161" s="1">
        <f t="array" ref="J161">SUMIF($B$4:$B$80,"100533",$J$4:$J$80)</f>
        <v>186.33</v>
      </c>
      <c r="K161" s="1">
        <f>SUMIF($B$4:$B$80,"100533",$K$4:$K$80)</f>
        <v>2012.1599999999999</v>
      </c>
      <c r="L161" s="2">
        <f t="array" ref="L161">SUMIF($B$4:$B$80,"100533",$L$4:$L$80)</f>
        <v>16175.82</v>
      </c>
    </row>
    <row r="162" spans="3:12" x14ac:dyDescent="0.2">
      <c r="E162" s="9" t="s">
        <v>63</v>
      </c>
      <c r="F162" s="6"/>
      <c r="G162" s="9"/>
      <c r="I162" s="1">
        <f>SUMIF($B$4:$B$80,"100534",$I$4:$I$80)</f>
        <v>7.04</v>
      </c>
      <c r="J162" s="1">
        <f>SUMIF($B$4:$B$80,"100534",$J$4:$J$80)</f>
        <v>0</v>
      </c>
      <c r="K162" s="1">
        <f>SUMIF($B$4:$B$80,"100534",$K$4:$K$80)</f>
        <v>7.04</v>
      </c>
      <c r="L162" s="2">
        <f t="array" ref="L162">SUMIF($B$4:$B$80,"100534",$L$4:$L$80)</f>
        <v>515.33000000000004</v>
      </c>
    </row>
    <row r="163" spans="3:12" x14ac:dyDescent="0.2">
      <c r="E163" s="9" t="s">
        <v>64</v>
      </c>
      <c r="F163" s="6"/>
      <c r="G163" s="5"/>
      <c r="H163" s="7"/>
      <c r="I163" s="1">
        <f t="array" ref="I163">SUMIF($B$4:$B$80,"100535",$I$4:$I$80)</f>
        <v>0</v>
      </c>
      <c r="J163" s="1">
        <f t="array" ref="J163">SUMIF($B$4:$B$80,"100535",$J$4:$J$80)</f>
        <v>0</v>
      </c>
      <c r="K163" s="1">
        <f>SUMIF($B$4:$B$80,"100535",$K$4:$K$80)</f>
        <v>0</v>
      </c>
      <c r="L163" s="2">
        <f t="array" ref="L163">SUMIF($B$4:$B$80,"100535",$L$4:$L$80)</f>
        <v>0</v>
      </c>
    </row>
    <row r="164" spans="3:12" x14ac:dyDescent="0.2">
      <c r="E164" s="9" t="s">
        <v>65</v>
      </c>
      <c r="F164" s="6"/>
      <c r="G164" s="18"/>
      <c r="H164" s="7"/>
      <c r="I164" s="1">
        <f t="array" ref="I164">SUMIF($B$4:$B$80,"100551",$I$4:$I$80)</f>
        <v>0</v>
      </c>
      <c r="J164" s="1">
        <f t="array" ref="J164">SUMIF($B$4:$B$80,"100551",$J$4:$J$80)</f>
        <v>0</v>
      </c>
      <c r="K164" s="1">
        <f t="array" ref="K164">SUMIF($B$4:$B$80,"100551",$K$4:$K$80)</f>
        <v>0</v>
      </c>
      <c r="L164" s="2">
        <f t="array" ref="L164">SUMIF($B$4:$B$80,"100551",$L$4:$L$80)</f>
        <v>0</v>
      </c>
    </row>
    <row r="165" spans="3:12" x14ac:dyDescent="0.2">
      <c r="E165" s="9" t="s">
        <v>66</v>
      </c>
      <c r="F165" s="6"/>
      <c r="G165" s="8"/>
      <c r="H165" s="7"/>
      <c r="I165" s="1">
        <f t="array" ref="I165">SUMIF($B$4:$B$80,"100552",$I$4:$I$80)</f>
        <v>3034.54</v>
      </c>
      <c r="J165" s="1">
        <f t="array" ref="J165">SUMIF($B$4:$B$80,"100552",$J$4:$J$80)</f>
        <v>304.64</v>
      </c>
      <c r="K165" s="1">
        <f t="array" ref="K165">SUMIF($B$4:$B$80,"100552",$K$4:$K$80)</f>
        <v>2729.9</v>
      </c>
      <c r="L165" s="2">
        <f>SUMIF($B$4:$B$80,"100552",$L$4:$L$80)</f>
        <v>0</v>
      </c>
    </row>
    <row r="166" spans="3:12" ht="15.75" thickBot="1" x14ac:dyDescent="0.25">
      <c r="E166" s="5"/>
      <c r="F166" s="6"/>
      <c r="G166" s="8"/>
      <c r="I166" s="3">
        <f>SUMIF($B$4:$B$80,"100554",$I$4:$I$80)</f>
        <v>140767.87000000002</v>
      </c>
      <c r="J166" s="3">
        <f>SUMIF($B$4:$B$80,"100554",$J$4:$J$80)</f>
        <v>131584.09</v>
      </c>
      <c r="K166" s="3">
        <f>SUMIF($B$4:$B$80,"100554",$K$4:$K$80)</f>
        <v>9183.7800000000116</v>
      </c>
      <c r="L166" s="4">
        <f>SUMIF($B$4:$B$80,"100554",$L$4:$L$80)</f>
        <v>1330654.8899999999</v>
      </c>
    </row>
    <row r="167" spans="3:12" x14ac:dyDescent="0.2">
      <c r="E167" s="18" t="s">
        <v>76</v>
      </c>
      <c r="G167" s="8"/>
      <c r="I167" s="1"/>
      <c r="J167" s="1"/>
      <c r="K167" s="1"/>
      <c r="L167" s="2"/>
    </row>
    <row r="168" spans="3:12" x14ac:dyDescent="0.2">
      <c r="E168" s="8"/>
      <c r="G168" s="8"/>
      <c r="I168" s="1">
        <f>SUM(I152:I166)</f>
        <v>165733.44000000003</v>
      </c>
      <c r="J168" s="1">
        <f>SUM(J152:J166)</f>
        <v>139918.13999999998</v>
      </c>
      <c r="K168" s="1">
        <f>SUM(K152:K166)</f>
        <v>25815.30000000001</v>
      </c>
      <c r="L168" s="2">
        <f>SUM(L152:L166)</f>
        <v>1786850.2399999998</v>
      </c>
    </row>
    <row r="169" spans="3:12" x14ac:dyDescent="0.2">
      <c r="E169" s="8" t="s">
        <v>49</v>
      </c>
    </row>
    <row r="170" spans="3:12" x14ac:dyDescent="0.2">
      <c r="E170" s="8"/>
      <c r="I170" s="20">
        <f>I82</f>
        <v>165733.44000000003</v>
      </c>
      <c r="J170" s="20">
        <f>J82</f>
        <v>139918.13999999998</v>
      </c>
      <c r="K170" s="20">
        <f>K82</f>
        <v>25815.30000000001</v>
      </c>
      <c r="L170" s="21">
        <f>L82</f>
        <v>1786850.24</v>
      </c>
    </row>
    <row r="171" spans="3:12" x14ac:dyDescent="0.2">
      <c r="E171" s="8" t="s">
        <v>50</v>
      </c>
      <c r="L171" s="21"/>
    </row>
    <row r="172" spans="3:12" x14ac:dyDescent="0.2">
      <c r="I172" s="20">
        <f>I146</f>
        <v>165733.44000000003</v>
      </c>
      <c r="J172" s="20">
        <f>J146</f>
        <v>139918.13999999998</v>
      </c>
      <c r="K172" s="20">
        <f>K146</f>
        <v>25815.30000000001</v>
      </c>
      <c r="L172" s="21">
        <f>L146</f>
        <v>1786850.24</v>
      </c>
    </row>
    <row r="174" spans="3:12" x14ac:dyDescent="0.2">
      <c r="E174" s="73"/>
    </row>
    <row r="175" spans="3:12" x14ac:dyDescent="0.2">
      <c r="C175" s="74" t="s">
        <v>127</v>
      </c>
    </row>
    <row r="176" spans="3:12" x14ac:dyDescent="0.2">
      <c r="C176" s="74" t="s">
        <v>128</v>
      </c>
    </row>
    <row r="177" spans="1:3" x14ac:dyDescent="0.2">
      <c r="C177" s="74" t="s">
        <v>129</v>
      </c>
    </row>
    <row r="181" spans="1:3" x14ac:dyDescent="0.2">
      <c r="A181" s="72"/>
    </row>
    <row r="182" spans="1:3" x14ac:dyDescent="0.2">
      <c r="A182" s="7" t="s">
        <v>101</v>
      </c>
    </row>
  </sheetData>
  <autoFilter ref="A2:M64" xr:uid="{00000000-0001-0000-0000-000000000000}"/>
  <sortState xmlns:xlrd2="http://schemas.microsoft.com/office/spreadsheetml/2017/richdata2" ref="G141:L175">
    <sortCondition ref="G141:G175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53" max="16383" man="1"/>
    <brk id="84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2026-03-12T17:03:59Z</dcterms:modified>
</cp:coreProperties>
</file>