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poleary\Documents\RV Programs\2026Q1\"/>
    </mc:Choice>
  </mc:AlternateContent>
  <xr:revisionPtr revIDLastSave="0" documentId="13_ncr:1_{C9E896B5-36B6-47AB-B0FE-BD094BEFE66D}" xr6:coauthVersionLast="47" xr6:coauthVersionMax="47" xr10:uidLastSave="{00000000-0000-0000-0000-000000000000}"/>
  <workbookProtection workbookAlgorithmName="SHA-512" workbookHashValue="+ThehGXX2RxiaH+6hPBHHZTWMN4j7ZcnVIeocdkoRn+LEmChmnWnaiVByuHrgScgdEgWHqFWnHBLZQEDY2QiHA==" workbookSaltValue="VTv8Eo5rHNLel366hnrypQ==" workbookSpinCount="100000" lockStructure="1"/>
  <bookViews>
    <workbookView xWindow="-108" yWindow="-108" windowWidth="23256" windowHeight="12456" tabRatio="914" xr2:uid="{00000000-000D-0000-FFFF-FFFF00000000}"/>
  </bookViews>
  <sheets>
    <sheet name="INPUT  Pg1" sheetId="4" r:id="rId1"/>
    <sheet name="OG Heli  INPUT" sheetId="5" r:id="rId2"/>
    <sheet name="P&amp;R" sheetId="15" r:id="rId3"/>
    <sheet name="BY2025 Update" sheetId="6" r:id="rId4"/>
    <sheet name="Project SV mfg" sheetId="7" r:id="rId5"/>
    <sheet name="Logging Costs" sheetId="9" r:id="rId6"/>
    <sheet name="2400-17_RV" sheetId="10" r:id="rId7"/>
    <sheet name="Notes_Tow Dist" sheetId="11" r:id="rId8"/>
  </sheets>
  <definedNames>
    <definedName name="_05515_R006" localSheetId="0">'INPUT  Pg1'!#REF!</definedName>
    <definedName name="_05515_R006_1" localSheetId="0">'INPUT  Pg1'!#REF!</definedName>
    <definedName name="qsel2400_17Data_AllInUtilz">#REF!</definedName>
    <definedName name="qselMainInputArchives">#REF!</definedName>
    <definedName name="qselMainInputReport">#REF!</definedName>
    <definedName name="qselMbfCcfConversions">#REF!</definedName>
    <definedName name="qselUtilit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9" l="1"/>
  <c r="D13" i="9"/>
  <c r="D12" i="9"/>
  <c r="D9" i="9"/>
  <c r="C8" i="9"/>
  <c r="D3" i="9"/>
  <c r="D2" i="9"/>
  <c r="F26" i="6" l="1"/>
  <c r="F25" i="6"/>
  <c r="F24" i="6"/>
  <c r="F23" i="6"/>
  <c r="F22" i="6"/>
  <c r="F21" i="6"/>
  <c r="H3" i="5" l="1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2" i="5"/>
  <c r="C48" i="4"/>
  <c r="C21" i="15"/>
  <c r="B21" i="15"/>
  <c r="B20" i="15"/>
  <c r="C20" i="15"/>
  <c r="C19" i="15"/>
  <c r="B19" i="15"/>
  <c r="E13" i="4"/>
  <c r="F10" i="6" l="1"/>
  <c r="G9" i="5" l="1"/>
  <c r="I9" i="5" s="1"/>
  <c r="J9" i="5"/>
  <c r="G10" i="5"/>
  <c r="I10" i="5" s="1"/>
  <c r="J10" i="5"/>
  <c r="G11" i="5"/>
  <c r="I11" i="5" s="1"/>
  <c r="J11" i="5"/>
  <c r="G12" i="5"/>
  <c r="I12" i="5" s="1"/>
  <c r="J12" i="5"/>
  <c r="G13" i="5"/>
  <c r="I13" i="5" s="1"/>
  <c r="J13" i="5"/>
  <c r="G14" i="5"/>
  <c r="I14" i="5" s="1"/>
  <c r="J14" i="5"/>
  <c r="G15" i="5"/>
  <c r="I15" i="5" s="1"/>
  <c r="J15" i="5"/>
  <c r="G16" i="5"/>
  <c r="I16" i="5" s="1"/>
  <c r="J16" i="5"/>
  <c r="G17" i="5"/>
  <c r="I17" i="5"/>
  <c r="J17" i="5"/>
  <c r="G18" i="5"/>
  <c r="I18" i="5"/>
  <c r="J18" i="5"/>
  <c r="G19" i="5"/>
  <c r="I19" i="5"/>
  <c r="J19" i="5"/>
  <c r="G20" i="5"/>
  <c r="I20" i="5"/>
  <c r="J20" i="5"/>
  <c r="G21" i="5"/>
  <c r="I21" i="5"/>
  <c r="J21" i="5"/>
  <c r="G22" i="5"/>
  <c r="I22" i="5"/>
  <c r="J22" i="5"/>
  <c r="G23" i="5"/>
  <c r="I23" i="5"/>
  <c r="J23" i="5"/>
  <c r="G24" i="5"/>
  <c r="I24" i="5"/>
  <c r="J24" i="5"/>
  <c r="G25" i="5"/>
  <c r="I25" i="5"/>
  <c r="J25" i="5"/>
  <c r="G26" i="5"/>
  <c r="I26" i="5"/>
  <c r="J26" i="5"/>
  <c r="G27" i="5"/>
  <c r="I27" i="5"/>
  <c r="J27" i="5"/>
  <c r="G28" i="5"/>
  <c r="I28" i="5"/>
  <c r="J28" i="5"/>
  <c r="G29" i="5"/>
  <c r="I29" i="5"/>
  <c r="J29" i="5"/>
  <c r="F66" i="7"/>
  <c r="E77" i="7"/>
  <c r="E76" i="7"/>
  <c r="E75" i="7"/>
  <c r="G75" i="7" s="1"/>
  <c r="H75" i="7" s="1"/>
  <c r="E74" i="7"/>
  <c r="E73" i="7"/>
  <c r="C77" i="7"/>
  <c r="C76" i="7"/>
  <c r="B77" i="7"/>
  <c r="B76" i="7"/>
  <c r="D76" i="7" s="1"/>
  <c r="B75" i="7"/>
  <c r="B74" i="7"/>
  <c r="B73" i="7"/>
  <c r="F76" i="7"/>
  <c r="F75" i="7"/>
  <c r="F74" i="7"/>
  <c r="F73" i="7" s="1"/>
  <c r="F77" i="7" s="1"/>
  <c r="E8" i="10"/>
  <c r="E3" i="7"/>
  <c r="B65" i="7"/>
  <c r="B19" i="11"/>
  <c r="C19" i="11" s="1"/>
  <c r="A24" i="6"/>
  <c r="G58" i="4"/>
  <c r="I58" i="4" s="1"/>
  <c r="E58" i="4"/>
  <c r="D77" i="7" l="1"/>
  <c r="G74" i="7"/>
  <c r="H74" i="7" s="1"/>
  <c r="G77" i="7"/>
  <c r="H77" i="7" s="1"/>
  <c r="G73" i="7"/>
  <c r="H73" i="7" s="1"/>
  <c r="G76" i="7"/>
  <c r="H76" i="7" s="1"/>
  <c r="I76" i="7" s="1"/>
  <c r="F16" i="7" s="1"/>
  <c r="H58" i="4"/>
  <c r="D19" i="11"/>
  <c r="D10" i="4"/>
  <c r="I77" i="7" l="1"/>
  <c r="G16" i="7" s="1"/>
  <c r="E54" i="4"/>
  <c r="G10" i="6"/>
  <c r="C16" i="7" l="1"/>
  <c r="D8" i="10"/>
  <c r="C8" i="10"/>
  <c r="E63" i="7"/>
  <c r="H38" i="6"/>
  <c r="H27" i="6"/>
  <c r="B26" i="6"/>
  <c r="B37" i="6" s="1"/>
  <c r="B25" i="6"/>
  <c r="B36" i="6" s="1"/>
  <c r="B35" i="6"/>
  <c r="B23" i="6"/>
  <c r="B34" i="6" s="1"/>
  <c r="B22" i="6"/>
  <c r="B33" i="6" s="1"/>
  <c r="B21" i="6"/>
  <c r="B32" i="6" s="1"/>
  <c r="B17" i="11"/>
  <c r="G56" i="4"/>
  <c r="G23" i="6" s="1"/>
  <c r="E56" i="4"/>
  <c r="B63" i="7"/>
  <c r="B64" i="7"/>
  <c r="C34" i="6"/>
  <c r="A22" i="6"/>
  <c r="A23" i="6"/>
  <c r="D3" i="7"/>
  <c r="C3" i="7"/>
  <c r="C17" i="11" l="1"/>
  <c r="D17" i="11"/>
  <c r="H56" i="4"/>
  <c r="I56" i="4"/>
  <c r="D9" i="7"/>
  <c r="G34" i="6"/>
  <c r="I34" i="6" s="1"/>
  <c r="D32" i="7"/>
  <c r="K23" i="6"/>
  <c r="D5" i="7"/>
  <c r="D12" i="7" s="1"/>
  <c r="D33" i="7"/>
  <c r="A34" i="6"/>
  <c r="D34" i="6" s="1"/>
  <c r="E9" i="6"/>
  <c r="E10" i="6"/>
  <c r="H10" i="6" s="1"/>
  <c r="B21" i="11"/>
  <c r="C21" i="11" s="1"/>
  <c r="B20" i="11"/>
  <c r="C20" i="11" s="1"/>
  <c r="B18" i="11"/>
  <c r="B16" i="11"/>
  <c r="B15" i="11"/>
  <c r="D15" i="11" s="1"/>
  <c r="D14" i="7" l="1"/>
  <c r="D11" i="7"/>
  <c r="D21" i="11"/>
  <c r="D20" i="11"/>
  <c r="C15" i="11"/>
  <c r="B22" i="11"/>
  <c r="C16" i="11"/>
  <c r="C18" i="11"/>
  <c r="C22" i="11" l="1"/>
  <c r="E67" i="7"/>
  <c r="C67" i="7"/>
  <c r="C66" i="7"/>
  <c r="B67" i="7"/>
  <c r="B66" i="7"/>
  <c r="J40" i="6"/>
  <c r="G55" i="4"/>
  <c r="C73" i="7" s="1"/>
  <c r="D73" i="7" s="1"/>
  <c r="I73" i="7" s="1"/>
  <c r="G57" i="4"/>
  <c r="C75" i="7" s="1"/>
  <c r="D75" i="7" s="1"/>
  <c r="I75" i="7" s="1"/>
  <c r="E16" i="7" s="1"/>
  <c r="H54" i="4"/>
  <c r="F62" i="4"/>
  <c r="F61" i="4"/>
  <c r="C63" i="7" l="1"/>
  <c r="D63" i="7" s="1"/>
  <c r="C74" i="7"/>
  <c r="D74" i="7" s="1"/>
  <c r="D18" i="11"/>
  <c r="G24" i="6"/>
  <c r="J56" i="4"/>
  <c r="J58" i="4"/>
  <c r="D66" i="7"/>
  <c r="D67" i="7"/>
  <c r="G22" i="6"/>
  <c r="I55" i="4"/>
  <c r="H57" i="4"/>
  <c r="H55" i="4"/>
  <c r="D16" i="11"/>
  <c r="F26" i="7"/>
  <c r="C65" i="7"/>
  <c r="D65" i="7" s="1"/>
  <c r="F64" i="7"/>
  <c r="F63" i="7" s="1"/>
  <c r="F65" i="7"/>
  <c r="E64" i="7"/>
  <c r="G8" i="10"/>
  <c r="F8" i="10"/>
  <c r="E8" i="6"/>
  <c r="E7" i="6"/>
  <c r="E55" i="4"/>
  <c r="E57" i="4"/>
  <c r="I57" i="4"/>
  <c r="G49" i="5"/>
  <c r="J49" i="5"/>
  <c r="G50" i="5"/>
  <c r="J50" i="5"/>
  <c r="D79" i="7" l="1"/>
  <c r="I74" i="7"/>
  <c r="G63" i="7"/>
  <c r="H63" i="7" s="1"/>
  <c r="I63" i="7" s="1"/>
  <c r="F67" i="7"/>
  <c r="G67" i="7" s="1"/>
  <c r="H67" i="7" s="1"/>
  <c r="I67" i="7" s="1"/>
  <c r="I61" i="4"/>
  <c r="I62" i="4"/>
  <c r="C17" i="7"/>
  <c r="K22" i="6"/>
  <c r="I49" i="5"/>
  <c r="I50" i="5"/>
  <c r="D22" i="11"/>
  <c r="B24" i="11" s="1"/>
  <c r="C17" i="9"/>
  <c r="D26" i="11" l="1"/>
  <c r="C26" i="11"/>
  <c r="C34" i="4"/>
  <c r="D16" i="7"/>
  <c r="H16" i="7" s="1"/>
  <c r="I79" i="7"/>
  <c r="H79" i="7" s="1"/>
  <c r="F6" i="6"/>
  <c r="B26" i="11" l="1"/>
  <c r="G3" i="5"/>
  <c r="J3" i="5"/>
  <c r="G4" i="5"/>
  <c r="J4" i="5"/>
  <c r="G5" i="5"/>
  <c r="J5" i="5"/>
  <c r="G6" i="5"/>
  <c r="J6" i="5"/>
  <c r="G7" i="5"/>
  <c r="J7" i="5"/>
  <c r="G8" i="5"/>
  <c r="J8" i="5"/>
  <c r="G30" i="5"/>
  <c r="J30" i="5"/>
  <c r="G31" i="5"/>
  <c r="J31" i="5"/>
  <c r="G32" i="5"/>
  <c r="J32" i="5"/>
  <c r="G33" i="5"/>
  <c r="J33" i="5"/>
  <c r="G34" i="5"/>
  <c r="J34" i="5"/>
  <c r="G35" i="5"/>
  <c r="J35" i="5"/>
  <c r="G36" i="5"/>
  <c r="J36" i="5"/>
  <c r="G37" i="5"/>
  <c r="J37" i="5"/>
  <c r="G38" i="5"/>
  <c r="J38" i="5"/>
  <c r="G39" i="5"/>
  <c r="J39" i="5"/>
  <c r="G40" i="5"/>
  <c r="J40" i="5"/>
  <c r="G41" i="5"/>
  <c r="J41" i="5"/>
  <c r="G42" i="5"/>
  <c r="J42" i="5"/>
  <c r="G43" i="5"/>
  <c r="J43" i="5"/>
  <c r="G44" i="5"/>
  <c r="J44" i="5"/>
  <c r="G45" i="5"/>
  <c r="J45" i="5"/>
  <c r="G46" i="5"/>
  <c r="J46" i="5"/>
  <c r="G47" i="5"/>
  <c r="J47" i="5"/>
  <c r="G48" i="5"/>
  <c r="J48" i="5"/>
  <c r="C35" i="4" l="1"/>
  <c r="I31" i="5"/>
  <c r="I46" i="5"/>
  <c r="I38" i="5"/>
  <c r="I30" i="5"/>
  <c r="I39" i="5"/>
  <c r="I42" i="5"/>
  <c r="I34" i="5"/>
  <c r="I47" i="5"/>
  <c r="I35" i="5"/>
  <c r="I45" i="5"/>
  <c r="I41" i="5"/>
  <c r="I37" i="5"/>
  <c r="I33" i="5"/>
  <c r="I44" i="5"/>
  <c r="I40" i="5"/>
  <c r="I36" i="5"/>
  <c r="I32" i="5"/>
  <c r="I48" i="5"/>
  <c r="I43" i="5"/>
  <c r="I6" i="5"/>
  <c r="I5" i="5"/>
  <c r="I8" i="5"/>
  <c r="I4" i="5"/>
  <c r="I7" i="5"/>
  <c r="I3" i="5"/>
  <c r="G6" i="6" l="1"/>
  <c r="F42" i="6"/>
  <c r="H9" i="6" l="1"/>
  <c r="D6" i="6"/>
  <c r="C6" i="6"/>
  <c r="G5" i="6"/>
  <c r="D5" i="6"/>
  <c r="C5" i="6"/>
  <c r="D23" i="6" l="1"/>
  <c r="D22" i="6"/>
  <c r="I23" i="6"/>
  <c r="I22" i="6"/>
  <c r="E6" i="6"/>
  <c r="E5" i="6"/>
  <c r="D36" i="7" l="1"/>
  <c r="D6" i="7"/>
  <c r="C25" i="15"/>
  <c r="B25" i="15"/>
  <c r="B15" i="9" l="1"/>
  <c r="C19" i="9" l="1"/>
  <c r="B26" i="15" l="1"/>
  <c r="B24" i="15" s="1"/>
  <c r="C26" i="15"/>
  <c r="C24" i="15" s="1"/>
  <c r="B4" i="15"/>
  <c r="C37" i="6" l="1"/>
  <c r="C32" i="6"/>
  <c r="C33" i="6"/>
  <c r="C35" i="6"/>
  <c r="C36" i="6"/>
  <c r="G2" i="5" l="1"/>
  <c r="H60" i="4" l="1"/>
  <c r="E60" i="4" l="1"/>
  <c r="E59" i="4"/>
  <c r="C15" i="9" l="1"/>
  <c r="D15" i="9" s="1"/>
  <c r="C16" i="9"/>
  <c r="C18" i="9"/>
  <c r="C20" i="9"/>
  <c r="C23" i="9"/>
  <c r="C24" i="9"/>
  <c r="C21" i="9" l="1"/>
  <c r="H1" i="10" l="1"/>
  <c r="I59" i="4" l="1"/>
  <c r="I60" i="4"/>
  <c r="G17" i="7" s="1"/>
  <c r="G64" i="7" l="1"/>
  <c r="H64" i="7" s="1"/>
  <c r="E65" i="7"/>
  <c r="G65" i="7" s="1"/>
  <c r="H65" i="7" s="1"/>
  <c r="I65" i="7" s="1"/>
  <c r="G3" i="7" l="1"/>
  <c r="F3" i="7"/>
  <c r="E17" i="7" l="1"/>
  <c r="H33" i="10" l="1"/>
  <c r="G26" i="6" l="1"/>
  <c r="G33" i="7" s="1"/>
  <c r="G21" i="6"/>
  <c r="G25" i="6"/>
  <c r="A26" i="6"/>
  <c r="A21" i="6"/>
  <c r="A25" i="6"/>
  <c r="G32" i="7" l="1"/>
  <c r="C32" i="7"/>
  <c r="C5" i="7"/>
  <c r="F5" i="7"/>
  <c r="C33" i="7"/>
  <c r="C9" i="7"/>
  <c r="E32" i="7"/>
  <c r="E33" i="7"/>
  <c r="B47" i="7" s="1"/>
  <c r="E9" i="7"/>
  <c r="G27" i="7"/>
  <c r="G40" i="7"/>
  <c r="K25" i="6"/>
  <c r="F33" i="7"/>
  <c r="K24" i="6"/>
  <c r="I24" i="6"/>
  <c r="E5" i="7"/>
  <c r="D24" i="6"/>
  <c r="K21" i="6"/>
  <c r="K26" i="6"/>
  <c r="I7" i="7"/>
  <c r="G7" i="7"/>
  <c r="H7" i="7" s="1"/>
  <c r="D25" i="6"/>
  <c r="A36" i="6"/>
  <c r="D36" i="6" s="1"/>
  <c r="G35" i="6"/>
  <c r="I35" i="6" s="1"/>
  <c r="F9" i="7"/>
  <c r="G36" i="6"/>
  <c r="I36" i="6" s="1"/>
  <c r="A35" i="6"/>
  <c r="G5" i="7"/>
  <c r="A37" i="6"/>
  <c r="D37" i="6" s="1"/>
  <c r="D26" i="6"/>
  <c r="G36" i="7" s="1"/>
  <c r="I26" i="6"/>
  <c r="G37" i="6"/>
  <c r="I37" i="6" s="1"/>
  <c r="D21" i="6"/>
  <c r="A32" i="6"/>
  <c r="I21" i="6"/>
  <c r="G32" i="6"/>
  <c r="H3" i="7"/>
  <c r="H8" i="10"/>
  <c r="C3" i="10" s="1"/>
  <c r="B49" i="7"/>
  <c r="F1" i="10"/>
  <c r="C4" i="7" l="1"/>
  <c r="G37" i="7"/>
  <c r="G4" i="7"/>
  <c r="E36" i="7"/>
  <c r="E4" i="7"/>
  <c r="E10" i="7"/>
  <c r="C14" i="7"/>
  <c r="C10" i="7"/>
  <c r="C37" i="7"/>
  <c r="C36" i="7"/>
  <c r="C6" i="7"/>
  <c r="C11" i="7"/>
  <c r="C12" i="7"/>
  <c r="E37" i="7"/>
  <c r="E40" i="7" s="1"/>
  <c r="D35" i="6"/>
  <c r="E14" i="7"/>
  <c r="E11" i="7"/>
  <c r="E12" i="7"/>
  <c r="E6" i="7"/>
  <c r="G39" i="7"/>
  <c r="B48" i="7"/>
  <c r="F6" i="7"/>
  <c r="G13" i="7"/>
  <c r="G6" i="7"/>
  <c r="I32" i="6"/>
  <c r="D32" i="6"/>
  <c r="F14" i="7"/>
  <c r="G11" i="7"/>
  <c r="G12" i="7"/>
  <c r="F3" i="10"/>
  <c r="G8" i="7" l="1"/>
  <c r="G9" i="10"/>
  <c r="G31" i="10" s="1"/>
  <c r="C39" i="7"/>
  <c r="E39" i="7"/>
  <c r="G3" i="10"/>
  <c r="D3" i="10"/>
  <c r="E3" i="10"/>
  <c r="G16" i="10" l="1"/>
  <c r="G10" i="10"/>
  <c r="G11" i="10" s="1"/>
  <c r="G32" i="10"/>
  <c r="G24" i="7"/>
  <c r="C32" i="4" l="1"/>
  <c r="B13" i="9" l="1"/>
  <c r="C13" i="9" l="1"/>
  <c r="E14" i="4" l="1"/>
  <c r="E24" i="4" l="1"/>
  <c r="C31" i="4"/>
  <c r="J60" i="4"/>
  <c r="F63" i="4"/>
  <c r="J59" i="4"/>
  <c r="J57" i="4"/>
  <c r="B7" i="11" l="1"/>
  <c r="G24" i="4"/>
  <c r="B12" i="9"/>
  <c r="B2" i="9"/>
  <c r="C20" i="4"/>
  <c r="B10" i="9" s="1"/>
  <c r="C10" i="9" s="1"/>
  <c r="D10" i="9" s="1"/>
  <c r="C21" i="4"/>
  <c r="C22" i="4"/>
  <c r="B4" i="9" l="1"/>
  <c r="B10" i="11"/>
  <c r="B5" i="9"/>
  <c r="B9" i="11"/>
  <c r="C12" i="9"/>
  <c r="B14" i="9"/>
  <c r="B8" i="11"/>
  <c r="B7" i="9" l="1"/>
  <c r="B16" i="9"/>
  <c r="D16" i="9" s="1"/>
  <c r="B18" i="9"/>
  <c r="D18" i="9" s="1"/>
  <c r="B17" i="9"/>
  <c r="D17" i="9" s="1"/>
  <c r="G15" i="10"/>
  <c r="D14" i="9"/>
  <c r="J51" i="5"/>
  <c r="G51" i="5"/>
  <c r="J2" i="5"/>
  <c r="E20" i="4"/>
  <c r="I51" i="5" l="1"/>
  <c r="I2" i="5"/>
  <c r="G18" i="10" l="1"/>
  <c r="G17" i="10"/>
  <c r="G19" i="10"/>
  <c r="E25" i="4" l="1"/>
  <c r="E23" i="4" l="1"/>
  <c r="E27" i="4" s="1"/>
  <c r="B6" i="11"/>
  <c r="B3" i="9"/>
  <c r="B6" i="9" s="1"/>
  <c r="G25" i="4"/>
  <c r="D52" i="5"/>
  <c r="D53" i="5" s="1"/>
  <c r="C4" i="9" l="1"/>
  <c r="C5" i="9"/>
  <c r="D5" i="9" s="1"/>
  <c r="C3" i="9"/>
  <c r="C2" i="9"/>
  <c r="D54" i="5"/>
  <c r="C23" i="4"/>
  <c r="B9" i="9"/>
  <c r="B8" i="9"/>
  <c r="D55" i="5"/>
  <c r="H35" i="10" l="1"/>
  <c r="E26" i="4"/>
  <c r="G26" i="4" s="1"/>
  <c r="C6" i="9"/>
  <c r="E21" i="4"/>
  <c r="B11" i="9"/>
  <c r="B23" i="9" s="1"/>
  <c r="D23" i="9" s="1"/>
  <c r="C7" i="9"/>
  <c r="D7" i="9" s="1"/>
  <c r="D4" i="9"/>
  <c r="C9" i="9"/>
  <c r="B17" i="15" l="1"/>
  <c r="C17" i="15"/>
  <c r="B21" i="9"/>
  <c r="D21" i="9" s="1"/>
  <c r="B20" i="9"/>
  <c r="D20" i="9" s="1"/>
  <c r="B24" i="9"/>
  <c r="D24" i="9" s="1"/>
  <c r="B19" i="9"/>
  <c r="D19" i="9" s="1"/>
  <c r="B22" i="9"/>
  <c r="B25" i="9"/>
  <c r="B5" i="11"/>
  <c r="G22" i="10"/>
  <c r="G20" i="10" l="1"/>
  <c r="G23" i="10"/>
  <c r="G13" i="10"/>
  <c r="D6" i="9" l="1"/>
  <c r="D8" i="9" l="1"/>
  <c r="C11" i="9"/>
  <c r="D11" i="9" l="1"/>
  <c r="C22" i="9"/>
  <c r="G12" i="10"/>
  <c r="D22" i="9" l="1"/>
  <c r="D25" i="9" s="1"/>
  <c r="C25" i="9"/>
  <c r="G14" i="10"/>
  <c r="G21" i="10" s="1"/>
  <c r="G24" i="10" s="1"/>
  <c r="G25" i="10" s="1"/>
  <c r="G26" i="10" l="1"/>
  <c r="C40" i="7" l="1"/>
  <c r="E66" i="7" l="1"/>
  <c r="G66" i="7" s="1"/>
  <c r="H66" i="7" s="1"/>
  <c r="I66" i="7" s="1"/>
  <c r="I25" i="6"/>
  <c r="F17" i="7" l="1"/>
  <c r="E9" i="10"/>
  <c r="E31" i="10" s="1"/>
  <c r="E24" i="7"/>
  <c r="F10" i="7" l="1"/>
  <c r="F4" i="7"/>
  <c r="F9" i="10" s="1"/>
  <c r="F31" i="10" s="1"/>
  <c r="F37" i="7"/>
  <c r="F40" i="7" s="1"/>
  <c r="E10" i="10"/>
  <c r="E11" i="10" s="1"/>
  <c r="E16" i="10"/>
  <c r="E32" i="10"/>
  <c r="E15" i="10"/>
  <c r="E19" i="10"/>
  <c r="E18" i="10"/>
  <c r="E17" i="10"/>
  <c r="E22" i="10"/>
  <c r="E13" i="10"/>
  <c r="E20" i="10"/>
  <c r="E23" i="10"/>
  <c r="E12" i="10"/>
  <c r="E14" i="10"/>
  <c r="F16" i="10" l="1"/>
  <c r="E21" i="10"/>
  <c r="E24" i="10" s="1"/>
  <c r="E25" i="10" s="1"/>
  <c r="E26" i="10" s="1"/>
  <c r="F18" i="10"/>
  <c r="F14" i="10"/>
  <c r="F17" i="10"/>
  <c r="F20" i="10"/>
  <c r="F19" i="10"/>
  <c r="F23" i="10"/>
  <c r="F12" i="10"/>
  <c r="F13" i="10"/>
  <c r="F22" i="10"/>
  <c r="F15" i="10"/>
  <c r="F32" i="10" l="1"/>
  <c r="F21" i="10"/>
  <c r="F24" i="10" l="1"/>
  <c r="H8" i="7" l="1"/>
  <c r="H13" i="7"/>
  <c r="A33" i="6" l="1"/>
  <c r="C9" i="10"/>
  <c r="C31" i="10" s="1"/>
  <c r="A27" i="6"/>
  <c r="C14" i="10" l="1"/>
  <c r="C32" i="10"/>
  <c r="D33" i="6"/>
  <c r="D38" i="6" s="1"/>
  <c r="A38" i="6"/>
  <c r="C12" i="10"/>
  <c r="C16" i="10"/>
  <c r="C19" i="10"/>
  <c r="C23" i="10"/>
  <c r="C24" i="7"/>
  <c r="C13" i="10"/>
  <c r="C20" i="10"/>
  <c r="C15" i="10"/>
  <c r="C17" i="10"/>
  <c r="C22" i="10"/>
  <c r="C18" i="10"/>
  <c r="C10" i="10"/>
  <c r="C11" i="10" s="1"/>
  <c r="D27" i="6"/>
  <c r="D28" i="6" s="1"/>
  <c r="D39" i="7"/>
  <c r="H5" i="7"/>
  <c r="D39" i="6" l="1"/>
  <c r="D29" i="6" s="1"/>
  <c r="H6" i="7"/>
  <c r="C21" i="10"/>
  <c r="C24" i="10" s="1"/>
  <c r="C25" i="10" s="1"/>
  <c r="C26" i="10" s="1"/>
  <c r="B29" i="15" l="1"/>
  <c r="B28" i="15"/>
  <c r="B27" i="15" l="1"/>
  <c r="B30" i="15" s="1"/>
  <c r="F16" i="6" s="1"/>
  <c r="F42" i="7" s="1"/>
  <c r="E16" i="6" l="1"/>
  <c r="E42" i="7" s="1"/>
  <c r="E26" i="7" s="1"/>
  <c r="B31" i="15"/>
  <c r="G16" i="6"/>
  <c r="G42" i="7" s="1"/>
  <c r="G26" i="7" s="1"/>
  <c r="C16" i="6"/>
  <c r="C42" i="7" s="1"/>
  <c r="C26" i="7" s="1"/>
  <c r="D16" i="6"/>
  <c r="D42" i="7" s="1"/>
  <c r="D26" i="7" s="1"/>
  <c r="F12" i="7"/>
  <c r="H12" i="7" s="1"/>
  <c r="H26" i="7" l="1"/>
  <c r="B26" i="7" s="1"/>
  <c r="F11" i="7"/>
  <c r="F24" i="7" s="1"/>
  <c r="F10" i="10" l="1"/>
  <c r="F25" i="10" s="1"/>
  <c r="F11" i="10" l="1"/>
  <c r="F26" i="10"/>
  <c r="J55" i="4"/>
  <c r="C64" i="7"/>
  <c r="D64" i="7" l="1"/>
  <c r="I64" i="7" s="1"/>
  <c r="H11" i="7"/>
  <c r="G27" i="6"/>
  <c r="H63" i="4"/>
  <c r="G33" i="6"/>
  <c r="D69" i="7" l="1"/>
  <c r="I69" i="7"/>
  <c r="I33" i="6"/>
  <c r="I38" i="6" s="1"/>
  <c r="G38" i="6"/>
  <c r="I27" i="6"/>
  <c r="I28" i="6" s="1"/>
  <c r="B46" i="7"/>
  <c r="B50" i="7" s="1"/>
  <c r="H9" i="7"/>
  <c r="K10" i="7"/>
  <c r="I10" i="7" s="1"/>
  <c r="D17" i="7" l="1"/>
  <c r="D4" i="7" s="1"/>
  <c r="H14" i="7"/>
  <c r="I39" i="6"/>
  <c r="I29" i="6" s="1"/>
  <c r="H69" i="7"/>
  <c r="K8" i="7"/>
  <c r="I8" i="7" s="1"/>
  <c r="K9" i="7"/>
  <c r="I9" i="7" s="1"/>
  <c r="C47" i="7"/>
  <c r="C48" i="7"/>
  <c r="C49" i="7"/>
  <c r="F47" i="7" s="1"/>
  <c r="C46" i="7"/>
  <c r="C29" i="15" l="1"/>
  <c r="C28" i="15"/>
  <c r="H17" i="7"/>
  <c r="H4" i="7" s="1"/>
  <c r="D10" i="7"/>
  <c r="H10" i="7" s="1"/>
  <c r="D9" i="10"/>
  <c r="D31" i="10" s="1"/>
  <c r="D37" i="7"/>
  <c r="D40" i="7" s="1"/>
  <c r="E47" i="7"/>
  <c r="C27" i="15" l="1"/>
  <c r="C30" i="15" s="1"/>
  <c r="E17" i="6" s="1"/>
  <c r="E43" i="7" s="1"/>
  <c r="E27" i="7" s="1"/>
  <c r="D13" i="10"/>
  <c r="H13" i="10" s="1"/>
  <c r="D32" i="10"/>
  <c r="H32" i="10" s="1"/>
  <c r="D12" i="10"/>
  <c r="H12" i="10" s="1"/>
  <c r="D20" i="10"/>
  <c r="D18" i="10"/>
  <c r="H18" i="10" s="1"/>
  <c r="D22" i="10"/>
  <c r="H22" i="10" s="1"/>
  <c r="D16" i="10"/>
  <c r="H16" i="10" s="1"/>
  <c r="D10" i="10"/>
  <c r="H10" i="10" s="1"/>
  <c r="D23" i="10"/>
  <c r="H23" i="10" s="1"/>
  <c r="H9" i="10"/>
  <c r="H34" i="10" s="1"/>
  <c r="D14" i="10"/>
  <c r="H14" i="10" s="1"/>
  <c r="D19" i="10"/>
  <c r="H19" i="10" s="1"/>
  <c r="D17" i="10"/>
  <c r="H17" i="10" s="1"/>
  <c r="D15" i="10"/>
  <c r="H15" i="10" s="1"/>
  <c r="D24" i="7"/>
  <c r="H24" i="7" s="1"/>
  <c r="C17" i="6" l="1"/>
  <c r="C43" i="7" s="1"/>
  <c r="C27" i="7" s="1"/>
  <c r="G17" i="6"/>
  <c r="G43" i="7" s="1"/>
  <c r="D17" i="6"/>
  <c r="D43" i="7" s="1"/>
  <c r="D27" i="7" s="1"/>
  <c r="C31" i="15"/>
  <c r="F17" i="6"/>
  <c r="F43" i="7" s="1"/>
  <c r="F27" i="7" s="1"/>
  <c r="H31" i="10"/>
  <c r="D11" i="10"/>
  <c r="H11" i="10"/>
  <c r="D21" i="10"/>
  <c r="H21" i="10" s="1"/>
  <c r="H20" i="10"/>
  <c r="H27" i="7"/>
  <c r="B27" i="7" s="1"/>
  <c r="H36" i="10"/>
  <c r="H40" i="10" s="1"/>
  <c r="H41" i="10" s="1"/>
  <c r="D24" i="10" l="1"/>
  <c r="H24" i="10" s="1"/>
  <c r="C28" i="7"/>
  <c r="C27" i="10" s="1"/>
  <c r="C28" i="10" s="1"/>
  <c r="C29" i="10" s="1"/>
  <c r="G28" i="7"/>
  <c r="G27" i="10" s="1"/>
  <c r="G28" i="10" s="1"/>
  <c r="G29" i="10" s="1"/>
  <c r="D28" i="7"/>
  <c r="D27" i="10" s="1"/>
  <c r="D28" i="10" s="1"/>
  <c r="E28" i="7"/>
  <c r="E27" i="10" s="1"/>
  <c r="E28" i="10" s="1"/>
  <c r="E29" i="10" s="1"/>
  <c r="F28" i="7"/>
  <c r="F27" i="10" s="1"/>
  <c r="F28" i="10" s="1"/>
  <c r="F29" i="10" s="1"/>
  <c r="F30" i="10" s="1"/>
  <c r="E37" i="10" l="1"/>
  <c r="E38" i="10" s="1"/>
  <c r="C30" i="10"/>
  <c r="D25" i="10"/>
  <c r="H25" i="10" s="1"/>
  <c r="C37" i="10"/>
  <c r="C38" i="10" s="1"/>
  <c r="G37" i="10"/>
  <c r="G30" i="10"/>
  <c r="E30" i="10"/>
  <c r="H28" i="10"/>
  <c r="H27" i="10" s="1"/>
  <c r="H18" i="6" s="1"/>
  <c r="H28" i="7"/>
  <c r="F37" i="10"/>
  <c r="F38" i="10" s="1"/>
  <c r="E39" i="10" l="1"/>
  <c r="D29" i="10"/>
  <c r="D30" i="10" s="1"/>
  <c r="H30" i="10" s="1"/>
  <c r="D26" i="10"/>
  <c r="H26" i="10" s="1"/>
  <c r="G39" i="10"/>
  <c r="G38" i="10"/>
  <c r="C39" i="10"/>
  <c r="F39" i="10"/>
  <c r="D37" i="10" l="1"/>
  <c r="D38" i="10" s="1"/>
  <c r="H38" i="10" s="1"/>
  <c r="H29" i="10"/>
  <c r="D39" i="10" l="1"/>
  <c r="H39" i="10" s="1"/>
  <c r="G40" i="10" s="1"/>
  <c r="G41" i="10" s="1"/>
  <c r="G42" i="10" s="1"/>
  <c r="G44" i="10" s="1"/>
  <c r="F40" i="10" l="1"/>
  <c r="F41" i="10" s="1"/>
  <c r="F42" i="10" s="1"/>
  <c r="F43" i="10" s="1"/>
  <c r="C40" i="10"/>
  <c r="C41" i="10" s="1"/>
  <c r="C42" i="10" s="1"/>
  <c r="C43" i="10" s="1"/>
  <c r="D40" i="10"/>
  <c r="D41" i="10" s="1"/>
  <c r="D42" i="10" s="1"/>
  <c r="D43" i="10" s="1"/>
  <c r="E40" i="10"/>
  <c r="E41" i="10" s="1"/>
  <c r="E42" i="10" s="1"/>
  <c r="E43" i="10" s="1"/>
  <c r="G43" i="10"/>
  <c r="G46" i="10"/>
  <c r="G45" i="10"/>
  <c r="C44" i="10" l="1"/>
  <c r="C46" i="10" s="1"/>
  <c r="F44" i="10"/>
  <c r="F45" i="10" s="1"/>
  <c r="D44" i="10"/>
  <c r="D45" i="10" s="1"/>
  <c r="H43" i="10"/>
  <c r="H42" i="10" s="1"/>
  <c r="E44" i="10"/>
  <c r="E45" i="10" s="1"/>
  <c r="F46" i="10" l="1"/>
  <c r="C45" i="10"/>
  <c r="H45" i="10" s="1"/>
  <c r="E46" i="10"/>
  <c r="C51" i="10"/>
  <c r="D46" i="10"/>
  <c r="H46" i="10" l="1"/>
  <c r="H47" i="10" s="1"/>
  <c r="E47" i="10" s="1"/>
  <c r="E48" i="10" s="1"/>
  <c r="G47" i="10" l="1"/>
  <c r="G48" i="10" s="1"/>
  <c r="G49" i="10" s="1"/>
  <c r="G50" i="10" s="1"/>
  <c r="F47" i="10"/>
  <c r="F48" i="10" s="1"/>
  <c r="F49" i="10" s="1"/>
  <c r="F50" i="10" s="1"/>
  <c r="C47" i="10"/>
  <c r="C48" i="10" s="1"/>
  <c r="C49" i="10" s="1"/>
  <c r="C50" i="10" s="1"/>
  <c r="D47" i="10"/>
  <c r="D48" i="10" s="1"/>
  <c r="D49" i="10" s="1"/>
  <c r="D50" i="10" s="1"/>
  <c r="E49" i="10"/>
  <c r="E50" i="10" s="1"/>
  <c r="H48" i="10" l="1"/>
  <c r="H50" i="10"/>
  <c r="H49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Petaisto</author>
  </authors>
  <commentList>
    <comment ref="E23" authorId="0" shapeId="0" xr:uid="{00000000-0006-0000-0000-000001000000}">
      <text>
        <r>
          <rPr>
            <sz val="8"/>
            <color indexed="81"/>
            <rFont val="Tahoma"/>
            <family val="2"/>
          </rPr>
          <t>Calculates Total Net conventional needed for mobilization component of shovel and cable yarding formulas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ipetaisto</author>
    <author>Inga Petaisto</author>
  </authors>
  <commentList>
    <comment ref="A1" authorId="0" shapeId="0" xr:uid="{00000000-0006-0000-0100-000001000000}">
      <text>
        <r>
          <rPr>
            <sz val="10"/>
            <color indexed="81"/>
            <rFont val="Tahoma"/>
            <family val="2"/>
          </rPr>
          <t>Do not enter YG heli units. YG heli yarding costs in AK are not yet available.</t>
        </r>
      </text>
    </comment>
    <comment ref="B1" authorId="1" shapeId="0" xr:uid="{00000000-0006-0000-0100-000002000000}">
      <text>
        <r>
          <rPr>
            <sz val="10"/>
            <color indexed="81"/>
            <rFont val="Tahoma"/>
            <family val="2"/>
          </rPr>
          <t>If setting BA &lt;66%, enter 0</t>
        </r>
      </text>
    </comment>
  </commentList>
</comments>
</file>

<file path=xl/sharedStrings.xml><?xml version="1.0" encoding="utf-8"?>
<sst xmlns="http://schemas.openxmlformats.org/spreadsheetml/2006/main" count="516" uniqueCount="440">
  <si>
    <t>Input Line Item #</t>
  </si>
  <si>
    <t>Input Column</t>
  </si>
  <si>
    <t>Data Source</t>
  </si>
  <si>
    <t>Appraisal YearQtr</t>
  </si>
  <si>
    <t xml:space="preserve">Contact :        </t>
  </si>
  <si>
    <t>daniel.oleary@usda.gov</t>
  </si>
  <si>
    <t>Sale Number</t>
  </si>
  <si>
    <t>Cruise cover page</t>
  </si>
  <si>
    <t>Sale Name</t>
  </si>
  <si>
    <t xml:space="preserve"> </t>
  </si>
  <si>
    <t>Appraiser</t>
  </si>
  <si>
    <t>Point of Contact</t>
  </si>
  <si>
    <t>Forest #</t>
  </si>
  <si>
    <t>District #</t>
  </si>
  <si>
    <t>District Name</t>
  </si>
  <si>
    <t>Appraisal Point</t>
  </si>
  <si>
    <r>
      <rPr>
        <b/>
        <sz val="9"/>
        <rFont val="Microsoft Sans Serif"/>
        <family val="2"/>
      </rPr>
      <t>Export = KTN or KLW;  Domestic = KLW</t>
    </r>
    <r>
      <rPr>
        <sz val="9"/>
        <rFont val="Microsoft Sans Serif"/>
        <family val="2"/>
      </rPr>
      <t>.  "Non-Klawock" export ports require stevedore costs as "unusual cost adjustment".</t>
    </r>
  </si>
  <si>
    <t>Yes</t>
  </si>
  <si>
    <t>Minimum diameter inside bark (DIB) utilization</t>
  </si>
  <si>
    <t xml:space="preserve">Other DIB Utilization requires RO approval </t>
  </si>
  <si>
    <t>Minimum Tree DBH Utilization Standard</t>
  </si>
  <si>
    <t>7.0"DIB= min 9"dbh;  9.0"DIB= min11"dbh</t>
  </si>
  <si>
    <t>WRC Export to L48     yes/no</t>
  </si>
  <si>
    <t>no</t>
  </si>
  <si>
    <t>Not permitted by Annual Appropriations Bill</t>
  </si>
  <si>
    <t>OG harv acres</t>
  </si>
  <si>
    <t>Total Harvest Acres incl ROW</t>
  </si>
  <si>
    <t>Cruise Report A1</t>
  </si>
  <si>
    <r>
      <t xml:space="preserve">TOTAL </t>
    </r>
    <r>
      <rPr>
        <b/>
        <sz val="10"/>
        <color indexed="8"/>
        <rFont val="Arial"/>
        <family val="2"/>
      </rPr>
      <t xml:space="preserve">OG </t>
    </r>
    <r>
      <rPr>
        <sz val="10"/>
        <color indexed="8"/>
        <rFont val="Arial"/>
        <family val="2"/>
      </rPr>
      <t>Net Sawlog MBF Removed</t>
    </r>
  </si>
  <si>
    <t>OG Cruise R001 (corresponds DIB)</t>
  </si>
  <si>
    <r>
      <t xml:space="preserve">TOTAL </t>
    </r>
    <r>
      <rPr>
        <b/>
        <sz val="10"/>
        <color rgb="FF0033CC"/>
        <rFont val="Arial"/>
        <family val="2"/>
      </rPr>
      <t>YG</t>
    </r>
    <r>
      <rPr>
        <sz val="10"/>
        <color rgb="FF0033CC"/>
        <rFont val="Arial"/>
        <family val="2"/>
      </rPr>
      <t xml:space="preserve"> Net Sawlog MBF Removed</t>
    </r>
  </si>
  <si>
    <t>YG Cruise R001 (corresponds DIB)</t>
  </si>
  <si>
    <r>
      <rPr>
        <b/>
        <sz val="10"/>
        <color rgb="FF0033CC"/>
        <rFont val="Arial"/>
        <family val="2"/>
      </rPr>
      <t>YG</t>
    </r>
    <r>
      <rPr>
        <sz val="10"/>
        <color rgb="FF0033CC"/>
        <rFont val="Arial"/>
        <family val="2"/>
      </rPr>
      <t xml:space="preserve"> Heli % by Net Sawlog</t>
    </r>
  </si>
  <si>
    <t>Cruise UC5 (corresponds DIB), calc in TSR</t>
  </si>
  <si>
    <r>
      <rPr>
        <b/>
        <sz val="10"/>
        <color rgb="FF0033CC"/>
        <rFont val="Arial"/>
        <family val="2"/>
      </rPr>
      <t>YG</t>
    </r>
    <r>
      <rPr>
        <sz val="10"/>
        <color rgb="FF0033CC"/>
        <rFont val="Arial"/>
        <family val="2"/>
      </rPr>
      <t xml:space="preserve"> Ground-Based % by Net Sawlog</t>
    </r>
  </si>
  <si>
    <r>
      <rPr>
        <b/>
        <sz val="10"/>
        <color rgb="FF0033CC"/>
        <rFont val="Arial"/>
        <family val="2"/>
      </rPr>
      <t>YG</t>
    </r>
    <r>
      <rPr>
        <sz val="10"/>
        <color rgb="FF0033CC"/>
        <rFont val="Arial"/>
        <family val="2"/>
      </rPr>
      <t xml:space="preserve"> Short Cable % by Net Sawlog</t>
    </r>
  </si>
  <si>
    <r>
      <rPr>
        <b/>
        <sz val="10"/>
        <color rgb="FF0033CC"/>
        <rFont val="Arial"/>
        <family val="2"/>
      </rPr>
      <t>YG</t>
    </r>
    <r>
      <rPr>
        <sz val="10"/>
        <color rgb="FF0033CC"/>
        <rFont val="Arial"/>
        <family val="2"/>
      </rPr>
      <t xml:space="preserve"> Heli Net Sawlog MBF removed</t>
    </r>
  </si>
  <si>
    <t>calculated</t>
  </si>
  <si>
    <t>Check if YG Log Sys % inputs  = 100%</t>
  </si>
  <si>
    <r>
      <rPr>
        <b/>
        <sz val="10"/>
        <color rgb="FF0033CC"/>
        <rFont val="Arial"/>
        <family val="2"/>
      </rPr>
      <t>YG</t>
    </r>
    <r>
      <rPr>
        <sz val="10"/>
        <color rgb="FF0033CC"/>
        <rFont val="Arial"/>
        <family val="2"/>
      </rPr>
      <t xml:space="preserve"> Ground-Based Net Sawlog MBF removed incl ROW</t>
    </r>
  </si>
  <si>
    <t>Check if OG Log Sys % inputs  = 100%</t>
  </si>
  <si>
    <r>
      <rPr>
        <b/>
        <sz val="10"/>
        <color rgb="FF0033CC"/>
        <rFont val="Arial"/>
        <family val="2"/>
      </rPr>
      <t>YG</t>
    </r>
    <r>
      <rPr>
        <sz val="10"/>
        <color rgb="FF0033CC"/>
        <rFont val="Arial"/>
        <family val="2"/>
      </rPr>
      <t xml:space="preserve"> Short Cable Net Sawlog MBF removed</t>
    </r>
  </si>
  <si>
    <r>
      <rPr>
        <b/>
        <sz val="10"/>
        <color indexed="8"/>
        <rFont val="Arial"/>
        <family val="2"/>
      </rPr>
      <t>OG</t>
    </r>
    <r>
      <rPr>
        <sz val="10"/>
        <color indexed="8"/>
        <rFont val="Arial"/>
        <family val="2"/>
      </rPr>
      <t xml:space="preserve"> Helicopter % by Net Sawlog </t>
    </r>
  </si>
  <si>
    <t>Total Conventional (OG &amp; YG)  NMBF</t>
  </si>
  <si>
    <t xml:space="preserve">OG Shov NMBF </t>
  </si>
  <si>
    <t>Shov NMBF per acre</t>
  </si>
  <si>
    <r>
      <rPr>
        <b/>
        <sz val="10"/>
        <color indexed="8"/>
        <rFont val="Arial"/>
        <family val="2"/>
      </rPr>
      <t>OG</t>
    </r>
    <r>
      <rPr>
        <sz val="10"/>
        <color indexed="8"/>
        <rFont val="Arial"/>
        <family val="2"/>
      </rPr>
      <t xml:space="preserve"> Short Cable CC % by Net Sawlog</t>
    </r>
  </si>
  <si>
    <t xml:space="preserve">OG Short Cable NMBF </t>
  </si>
  <si>
    <t>Cable NMBF per acre</t>
  </si>
  <si>
    <r>
      <rPr>
        <b/>
        <sz val="10"/>
        <color indexed="8"/>
        <rFont val="Arial"/>
        <family val="2"/>
      </rPr>
      <t>OG</t>
    </r>
    <r>
      <rPr>
        <sz val="10"/>
        <color indexed="8"/>
        <rFont val="Arial"/>
        <family val="2"/>
      </rPr>
      <t xml:space="preserve"> Heli Acres</t>
    </r>
  </si>
  <si>
    <t>Calculations in TSR (Timber Sale Report)</t>
  </si>
  <si>
    <t xml:space="preserve">OG Heli NMBF </t>
  </si>
  <si>
    <t>Heli NMBF per acre</t>
  </si>
  <si>
    <r>
      <rPr>
        <b/>
        <sz val="10"/>
        <color indexed="8"/>
        <rFont val="Arial"/>
        <family val="2"/>
      </rPr>
      <t>OG</t>
    </r>
    <r>
      <rPr>
        <sz val="10"/>
        <color indexed="8"/>
        <rFont val="Arial"/>
        <family val="2"/>
      </rPr>
      <t xml:space="preserve"> Shovel CC Acres</t>
    </r>
  </si>
  <si>
    <t>OG Shov CC acres</t>
  </si>
  <si>
    <t>Check OG heli NMBF</t>
  </si>
  <si>
    <r>
      <rPr>
        <b/>
        <sz val="10"/>
        <color indexed="8"/>
        <rFont val="Arial"/>
        <family val="2"/>
      </rPr>
      <t>OG</t>
    </r>
    <r>
      <rPr>
        <sz val="10"/>
        <color indexed="8"/>
        <rFont val="Arial"/>
        <family val="2"/>
      </rPr>
      <t xml:space="preserve"> Short Cable CC Acres</t>
    </r>
  </si>
  <si>
    <t>OG Short Cable CC acres</t>
  </si>
  <si>
    <r>
      <rPr>
        <b/>
        <sz val="10"/>
        <color indexed="8"/>
        <rFont val="Arial"/>
        <family val="2"/>
      </rPr>
      <t>OG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NET </t>
    </r>
    <r>
      <rPr>
        <sz val="10"/>
        <color indexed="8"/>
        <rFont val="Arial"/>
        <family val="2"/>
      </rPr>
      <t>Sawlog MBF removed per piece (32 ft. avg log)</t>
    </r>
  </si>
  <si>
    <t>Cruise R001 (corresponds DIB)</t>
  </si>
  <si>
    <r>
      <rPr>
        <b/>
        <sz val="10"/>
        <color indexed="8"/>
        <rFont val="Arial"/>
        <family val="2"/>
      </rPr>
      <t>OG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NET</t>
    </r>
    <r>
      <rPr>
        <sz val="10"/>
        <color indexed="8"/>
        <rFont val="Arial"/>
        <family val="2"/>
      </rPr>
      <t xml:space="preserve"> Sawlog MBF removed per acre</t>
    </r>
  </si>
  <si>
    <r>
      <t xml:space="preserve">Haul </t>
    </r>
    <r>
      <rPr>
        <b/>
        <sz val="10"/>
        <color indexed="8"/>
        <rFont val="Arial"/>
        <family val="2"/>
      </rPr>
      <t>OG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NET</t>
    </r>
    <r>
      <rPr>
        <sz val="10"/>
        <color indexed="8"/>
        <rFont val="Arial"/>
        <family val="2"/>
      </rPr>
      <t xml:space="preserve"> Sawlog MBF removed</t>
    </r>
  </si>
  <si>
    <r>
      <t xml:space="preserve">Haul </t>
    </r>
    <r>
      <rPr>
        <b/>
        <sz val="10"/>
        <color rgb="FF0033CC"/>
        <rFont val="Arial"/>
        <family val="2"/>
      </rPr>
      <t>YG</t>
    </r>
    <r>
      <rPr>
        <sz val="10"/>
        <color rgb="FF0033CC"/>
        <rFont val="Arial"/>
        <family val="2"/>
      </rPr>
      <t xml:space="preserve"> </t>
    </r>
    <r>
      <rPr>
        <b/>
        <sz val="10"/>
        <color rgb="FF0033CC"/>
        <rFont val="Arial"/>
        <family val="2"/>
      </rPr>
      <t>NET</t>
    </r>
    <r>
      <rPr>
        <sz val="10"/>
        <color rgb="FF0033CC"/>
        <rFont val="Arial"/>
        <family val="2"/>
      </rPr>
      <t xml:space="preserve"> Sawlog MBF removed</t>
    </r>
  </si>
  <si>
    <t>Haul Round-Trip-Time (weighted average hours)</t>
  </si>
  <si>
    <t>R10 Haul RTT Calculator</t>
  </si>
  <si>
    <r>
      <rPr>
        <b/>
        <sz val="10"/>
        <color indexed="8"/>
        <rFont val="Arial"/>
        <family val="2"/>
      </rPr>
      <t>Total NET</t>
    </r>
    <r>
      <rPr>
        <sz val="10"/>
        <color indexed="8"/>
        <rFont val="Arial"/>
        <family val="2"/>
      </rPr>
      <t xml:space="preserve"> Sawlog MBF </t>
    </r>
    <r>
      <rPr>
        <b/>
        <sz val="10"/>
        <color indexed="8"/>
        <rFont val="Arial"/>
        <family val="2"/>
      </rPr>
      <t>Towed</t>
    </r>
    <r>
      <rPr>
        <sz val="10"/>
        <color indexed="8"/>
        <rFont val="Arial"/>
        <family val="2"/>
      </rPr>
      <t xml:space="preserve"> (barge &amp; raft)</t>
    </r>
  </si>
  <si>
    <t>Calculated in 'Notes' Cell B25</t>
  </si>
  <si>
    <t>Tow Round-Trip-Distance (weighted average statute miles)</t>
  </si>
  <si>
    <t>Need RTD inputs for Exp Dom  in 'Notes tab</t>
  </si>
  <si>
    <r>
      <t xml:space="preserve">Total Log </t>
    </r>
    <r>
      <rPr>
        <sz val="10"/>
        <color indexed="8"/>
        <rFont val="Arial"/>
        <family val="2"/>
      </rPr>
      <t>Rafting or Barging Cost</t>
    </r>
  </si>
  <si>
    <t xml:space="preserve">R10 Tow Cost Calculator </t>
  </si>
  <si>
    <r>
      <rPr>
        <b/>
        <sz val="10"/>
        <color rgb="FF0033CC"/>
        <rFont val="Arial"/>
        <family val="2"/>
      </rPr>
      <t>YG</t>
    </r>
    <r>
      <rPr>
        <sz val="10"/>
        <color rgb="FF0033CC"/>
        <rFont val="Arial"/>
        <family val="2"/>
      </rPr>
      <t xml:space="preserve"> Ground-based Cost $ per NMBF Sawlog (incl F&amp;B)</t>
    </r>
  </si>
  <si>
    <t>R10 YG Log Cost Estimator</t>
  </si>
  <si>
    <r>
      <rPr>
        <b/>
        <sz val="10"/>
        <color rgb="FF0033CC"/>
        <rFont val="Arial"/>
        <family val="2"/>
      </rPr>
      <t>YG</t>
    </r>
    <r>
      <rPr>
        <sz val="10"/>
        <color rgb="FF0033CC"/>
        <rFont val="Arial"/>
        <family val="2"/>
      </rPr>
      <t xml:space="preserve"> Cable Cost $ per NMBF Sawlog (incl F&amp;B)</t>
    </r>
  </si>
  <si>
    <r>
      <rPr>
        <b/>
        <sz val="10"/>
        <color rgb="FF0033CC"/>
        <rFont val="Arial"/>
        <family val="2"/>
      </rPr>
      <t>YG</t>
    </r>
    <r>
      <rPr>
        <sz val="10"/>
        <color rgb="FF0033CC"/>
        <rFont val="Arial"/>
        <family val="2"/>
      </rPr>
      <t xml:space="preserve"> Helicopter Cost $ per NMBF Sawlog (incl F&amp;B) </t>
    </r>
  </si>
  <si>
    <t xml:space="preserve">Conventional (cable, shov, GB) Equip Mobe from prev sale </t>
  </si>
  <si>
    <t>R10 Conv Equip Mobe cost calculator</t>
  </si>
  <si>
    <t>Total Cost for camp or lodging provided by logging company</t>
  </si>
  <si>
    <t>R10 Camp cost calculator</t>
  </si>
  <si>
    <t>Spec Road Const &amp; Spec Dev Cost</t>
  </si>
  <si>
    <t>Engineer estimate</t>
  </si>
  <si>
    <t>Spec Road Reconst Cost</t>
  </si>
  <si>
    <t>Temp Road and Landing Construct Cost</t>
  </si>
  <si>
    <t>Temp road cost guide</t>
  </si>
  <si>
    <t>Prehaul Maint Cost Total</t>
  </si>
  <si>
    <t>BD &amp; Road Engr Deposits (posthaul mtce, SRR, temp rd closure)</t>
  </si>
  <si>
    <t>Acres of Spec Road ROW associated with TPV</t>
  </si>
  <si>
    <t>Calculated Timber Property Value</t>
  </si>
  <si>
    <t>Silviculture estimate</t>
  </si>
  <si>
    <t>Other Logging Cost and Unusual Adjustments Total Amount</t>
  </si>
  <si>
    <t>Hem-SS Market Allocation:</t>
  </si>
  <si>
    <r>
      <t xml:space="preserve">1)  Select </t>
    </r>
    <r>
      <rPr>
        <b/>
        <sz val="9"/>
        <rFont val="Arial"/>
        <family val="2"/>
      </rPr>
      <t>% Domestic</t>
    </r>
    <r>
      <rPr>
        <sz val="9"/>
        <rFont val="Arial"/>
        <family val="2"/>
      </rPr>
      <t xml:space="preserve"> per policy or line officer.</t>
    </r>
  </si>
  <si>
    <t>Cruise R009 Volume Matrix   (NOTE:  All log category volumes should be based on 32 ft cruised logs and 7.0+" DIB.)</t>
  </si>
  <si>
    <r>
      <t xml:space="preserve">2)  If Step1 is </t>
    </r>
    <r>
      <rPr>
        <b/>
        <sz val="9"/>
        <color rgb="FFFF0000"/>
        <rFont val="Arial"/>
        <family val="2"/>
      </rPr>
      <t>Deficit</t>
    </r>
    <r>
      <rPr>
        <sz val="9"/>
        <rFont val="Arial"/>
        <family val="2"/>
      </rPr>
      <t xml:space="preserve"> ('2400-17' Cell C51</t>
    </r>
    <r>
      <rPr>
        <b/>
        <sz val="9"/>
        <rFont val="Arial"/>
        <family val="2"/>
      </rPr>
      <t>)</t>
    </r>
    <r>
      <rPr>
        <sz val="9"/>
        <rFont val="Arial"/>
        <family val="2"/>
      </rPr>
      <t xml:space="preserve">, continue 10% reduction until Appraisal is </t>
    </r>
    <r>
      <rPr>
        <b/>
        <sz val="9"/>
        <rFont val="Arial"/>
        <family val="2"/>
      </rPr>
      <t>Positive</t>
    </r>
    <r>
      <rPr>
        <sz val="9"/>
        <rFont val="Arial"/>
        <family val="2"/>
      </rPr>
      <t xml:space="preserve">.   </t>
    </r>
  </si>
  <si>
    <t xml:space="preserve"> Species</t>
  </si>
  <si>
    <t xml:space="preserve">Log Category </t>
  </si>
  <si>
    <t>Sawlog GMBF_Rmvd</t>
  </si>
  <si>
    <t>Sawlog NMBF_Rmvd</t>
  </si>
  <si>
    <t>Scaling Defect</t>
  </si>
  <si>
    <t>% Domestic AK</t>
  </si>
  <si>
    <t>% Log Export</t>
  </si>
  <si>
    <t xml:space="preserve">    Appraised Market</t>
  </si>
  <si>
    <t xml:space="preserve"> Export  NMBF</t>
  </si>
  <si>
    <t>Export % of Total Saw</t>
  </si>
  <si>
    <t xml:space="preserve"> 098</t>
  </si>
  <si>
    <t>OG SS 18.0+ DIB sawlog</t>
  </si>
  <si>
    <t>OG SS &lt;18.0 DIB sawlog</t>
  </si>
  <si>
    <t>OGSS</t>
  </si>
  <si>
    <t xml:space="preserve"> 098Y</t>
  </si>
  <si>
    <t>YG SS All DIB sawlog</t>
  </si>
  <si>
    <t>YGSS</t>
  </si>
  <si>
    <t>Hem</t>
  </si>
  <si>
    <t xml:space="preserve"> 042</t>
  </si>
  <si>
    <t>AYC All DIB sawlog</t>
  </si>
  <si>
    <t>Foreign Market</t>
  </si>
  <si>
    <t>AYC</t>
  </si>
  <si>
    <t xml:space="preserve"> 242</t>
  </si>
  <si>
    <t>WRC  All DIB sawlog</t>
  </si>
  <si>
    <t>WRC</t>
  </si>
  <si>
    <t>Total NMBF saw removed</t>
  </si>
  <si>
    <t>appraised HS export nmbf</t>
  </si>
  <si>
    <t>Total GMBF removed</t>
  </si>
  <si>
    <t>HS export% of total saw nmbf</t>
  </si>
  <si>
    <t>SD</t>
  </si>
  <si>
    <t>1.   OG Helicopter Setting #</t>
  </si>
  <si>
    <r>
      <t>2.  % Basal Area Retention</t>
    </r>
    <r>
      <rPr>
        <sz val="11"/>
        <rFont val="Arial"/>
        <family val="2"/>
      </rPr>
      <t xml:space="preserve"> (if &gt;= 66%, enter whole #)</t>
    </r>
  </si>
  <si>
    <r>
      <t xml:space="preserve">3.  Uphill Yarding </t>
    </r>
    <r>
      <rPr>
        <sz val="11"/>
        <rFont val="Arial"/>
        <family val="2"/>
      </rPr>
      <t>(yes/no)</t>
    </r>
  </si>
  <si>
    <r>
      <t xml:space="preserve">4.  Setting Net MBF    </t>
    </r>
    <r>
      <rPr>
        <sz val="10"/>
        <color indexed="8"/>
        <rFont val="Microsoft Sans Serif"/>
        <family val="2"/>
      </rPr>
      <t xml:space="preserve">             (corresponds to DIB utiliz)</t>
    </r>
  </si>
  <si>
    <t>5.  Setting AYD Horizontal Distance</t>
  </si>
  <si>
    <t>6.  Setting Elevation Change</t>
  </si>
  <si>
    <t>Calculated or Adjusted Slope Distance</t>
  </si>
  <si>
    <t>Cost adjusted for slope &amp; Rx</t>
  </si>
  <si>
    <t>Cost adjusted for slope, Rx &amp; uphill</t>
  </si>
  <si>
    <t>Minimum Horizontal Distance Needed</t>
  </si>
  <si>
    <t>Hide Columns G thru K</t>
  </si>
  <si>
    <t>BY11 = IF(B2&gt;65,((0.0637*G2)+249.65)*((0.0085*B2)+0.4552),((0.0637*G2)+249.65))*D2</t>
  </si>
  <si>
    <t>BY12 = IF(B2&gt;65,((0.0503*G2)+294.34)*((0.0085*B2)+0.4552),((0.0503*G2)+294.34))*D2</t>
  </si>
  <si>
    <t>BY13 = IF(B2&gt;65,((0.0491*G2)+298.13)*((0.0085*B2)+0.4552),((0.0491*G2)+298.13))*D2</t>
  </si>
  <si>
    <t>BY15 = IF(B2&gt;65,((0.0303*G2)+325.73)*((0.0085*B2)+0.4552),((0.0303*G2)+325.73))*D2</t>
  </si>
  <si>
    <r>
      <t>BY16 = IF(B2&gt;65,</t>
    </r>
    <r>
      <rPr>
        <sz val="11"/>
        <color rgb="FFFF0000"/>
        <rFont val="Calibri"/>
        <family val="2"/>
        <scheme val="minor"/>
      </rPr>
      <t>68470</t>
    </r>
    <r>
      <rPr>
        <sz val="11"/>
        <color theme="1"/>
        <rFont val="Calibri"/>
        <family val="2"/>
        <scheme val="minor"/>
      </rPr>
      <t>/(-0.01999*G2+232.609)*(0.0085*B2+0.4552),68470/(-0.01999*G2+232.609))*D2</t>
    </r>
  </si>
  <si>
    <r>
      <t>BY17 = IF(B2&gt;65,</t>
    </r>
    <r>
      <rPr>
        <sz val="11"/>
        <rFont val="Calibri"/>
        <family val="2"/>
        <scheme val="minor"/>
      </rPr>
      <t>59111</t>
    </r>
    <r>
      <rPr>
        <sz val="11"/>
        <color theme="1"/>
        <rFont val="Calibri"/>
        <family val="2"/>
        <scheme val="minor"/>
      </rPr>
      <t>/(-0.01999*G2+232.609)*(0.0085*B2+0.4552),59111/(-0.01999*G2+232.609))*D2</t>
    </r>
  </si>
  <si>
    <t>BY18 = IF(B2&gt;65,60376/(-0.02152*G2+229.719)*(0.0085*B2+0.4552),60376/(-0.02152*G2+229.719))*D2</t>
  </si>
  <si>
    <r>
      <t>BY19 = IF(B2&gt;65,56720/(-0.02152*G2+229.719)*(0.0085*B2+0.4552)</t>
    </r>
    <r>
      <rPr>
        <sz val="11"/>
        <color rgb="FFFF0000"/>
        <rFont val="Calibri"/>
        <family val="2"/>
        <scheme val="minor"/>
      </rPr>
      <t>,56720</t>
    </r>
    <r>
      <rPr>
        <sz val="11"/>
        <color theme="1"/>
        <rFont val="Calibri"/>
        <family val="2"/>
        <scheme val="minor"/>
      </rPr>
      <t>/(-0.02152*G2+229.719))*D2</t>
    </r>
  </si>
  <si>
    <t>BY20 = IF(B2&gt;65,58748/(-0.02152*G2+229.719)*(0.0085*B2+0.4552),58748/(-0.02152*G2+229.719))*D2</t>
  </si>
  <si>
    <r>
      <t>BY21 = IF(B2&gt;65,5958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/(-0.02152*G2+229.719)*(0.0085*B2+0.4552),</t>
    </r>
    <r>
      <rPr>
        <b/>
        <sz val="11"/>
        <color theme="1"/>
        <rFont val="Calibri"/>
        <family val="2"/>
        <scheme val="minor"/>
      </rPr>
      <t>59584</t>
    </r>
    <r>
      <rPr>
        <sz val="11"/>
        <color theme="1"/>
        <rFont val="Calibri"/>
        <family val="2"/>
        <scheme val="minor"/>
      </rPr>
      <t>/(-0.02152*G2+229.719))*D2</t>
    </r>
  </si>
  <si>
    <t>BY22 = IF(B2&gt;65,65153/(-0.02152*G2+229.719)*(0.0085*B2+0.4552),65153/(-0.02152*G2+229.719))*D2</t>
  </si>
  <si>
    <t>BY23 = IF(B2&gt;65,65755/(-0.02152*G2+229.719)*(0.0085*B2+0.4552),65755/(-0.02152*G2+229.719))*D2</t>
  </si>
  <si>
    <t>mobe &amp; demobe  (added in D103 Total Cost)</t>
  </si>
  <si>
    <t>heli fell &amp; buck $/MBF</t>
  </si>
  <si>
    <t>MBF net rmvd (w/o utility)</t>
  </si>
  <si>
    <t>Total Cost (includes F&amp;B  &amp; mobe)</t>
  </si>
  <si>
    <t>Cost per MBF net rmvd</t>
  </si>
  <si>
    <t>Weighted average slope dist</t>
  </si>
  <si>
    <t xml:space="preserve">P&amp;R Calculator for Tongass Timber Sales </t>
  </si>
  <si>
    <r>
      <t xml:space="preserve"> </t>
    </r>
    <r>
      <rPr>
        <b/>
        <sz val="11"/>
        <rFont val="Arial"/>
        <family val="2"/>
      </rPr>
      <t xml:space="preserve">Profit </t>
    </r>
    <r>
      <rPr>
        <sz val="11"/>
        <rFont val="Arial"/>
        <family val="2"/>
      </rPr>
      <t>= Financial gain after all costs are paid.</t>
    </r>
  </si>
  <si>
    <r>
      <t xml:space="preserve"> </t>
    </r>
    <r>
      <rPr>
        <b/>
        <sz val="11"/>
        <color rgb="FFFF0000"/>
        <rFont val="Arial"/>
        <family val="2"/>
      </rPr>
      <t xml:space="preserve">Risk </t>
    </r>
    <r>
      <rPr>
        <sz val="11"/>
        <color rgb="FFFF0000"/>
        <rFont val="Arial"/>
        <family val="2"/>
      </rPr>
      <t>= Chance of incurring extra costs and losses.</t>
    </r>
  </si>
  <si>
    <t>Sale Name   :</t>
  </si>
  <si>
    <t>Standard Profit Allowance   :</t>
  </si>
  <si>
    <t>Sawn</t>
  </si>
  <si>
    <t>Export</t>
  </si>
  <si>
    <r>
      <rPr>
        <b/>
        <sz val="10"/>
        <rFont val="Arial"/>
        <family val="2"/>
      </rPr>
      <t xml:space="preserve">Rationale for Calculator Adjustments - DRAFT AND DELIBERATIVE </t>
    </r>
    <r>
      <rPr>
        <sz val="1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FOR INTERNAL USE ONLY</t>
    </r>
  </si>
  <si>
    <r>
      <rPr>
        <b/>
        <sz val="10"/>
        <rFont val="Arial"/>
        <family val="2"/>
      </rPr>
      <t>Standard risk factors:</t>
    </r>
    <r>
      <rPr>
        <sz val="10"/>
        <rFont val="Arial"/>
        <family val="2"/>
      </rPr>
      <t xml:space="preserve">  Listed risk factors applicable to all sales on Tongass NF support a standard 5% risk allowance before adjustments for sale specific risk factors.</t>
    </r>
  </si>
  <si>
    <t>Includes potential for losses from higher cost uphill shovel logging (shovel CC cost formula assumes downhill yarding)</t>
  </si>
  <si>
    <t>Sale-Specific  Risk Factors :</t>
  </si>
  <si>
    <r>
      <t xml:space="preserve">1) </t>
    </r>
    <r>
      <rPr>
        <b/>
        <sz val="11"/>
        <rFont val="Arial"/>
        <family val="2"/>
      </rPr>
      <t>Cable and Helicopter logging</t>
    </r>
    <r>
      <rPr>
        <sz val="11"/>
        <rFont val="Arial"/>
        <family val="2"/>
      </rPr>
      <t xml:space="preserve">  (% of total net saw volume):</t>
    </r>
  </si>
  <si>
    <r>
      <rPr>
        <b/>
        <sz val="10"/>
        <rFont val="Arial"/>
        <family val="2"/>
      </rPr>
      <t xml:space="preserve">Cable/Heli: </t>
    </r>
    <r>
      <rPr>
        <sz val="10"/>
        <rFont val="Arial"/>
        <family val="2"/>
      </rPr>
      <t>High cost systems with high risk for losses from production delays due to breakdowns or poor unit design particularly with respect to slopes, deflection, and landing selection.</t>
    </r>
  </si>
  <si>
    <t xml:space="preserve">   1% threshold for +1 because it represents one or more high cost system; 50% threshold for +2 due to significantly reduced flexibility for purchaser to log low cost volume during cable/heli production delays</t>
  </si>
  <si>
    <t xml:space="preserve">   1-50% of sale volume = moderate risk increase for losses = +1% adjustment.</t>
  </si>
  <si>
    <t xml:space="preserve">   50-100% of sale volume = significant risk increase for losses = +2% adjustment.</t>
  </si>
  <si>
    <r>
      <t xml:space="preserve">2) </t>
    </r>
    <r>
      <rPr>
        <b/>
        <sz val="11"/>
        <rFont val="Arial"/>
        <family val="2"/>
      </rPr>
      <t>Roundtrip tow distance:</t>
    </r>
    <r>
      <rPr>
        <sz val="11"/>
        <rFont val="Arial"/>
        <family val="2"/>
      </rPr>
      <t xml:space="preserve">   </t>
    </r>
  </si>
  <si>
    <r>
      <t>Tow distance:</t>
    </r>
    <r>
      <rPr>
        <sz val="10"/>
        <rFont val="Arial"/>
        <family val="2"/>
      </rPr>
      <t xml:space="preserve"> 10yr Cost Collection Avg = 93 miles one way; Significantly longer tow distances increase risk for losses due to delays from weather, tides, mechanical, or lost/damaged bundles.  </t>
    </r>
    <r>
      <rPr>
        <i/>
        <sz val="10"/>
        <rFont val="Arial"/>
        <family val="2"/>
      </rPr>
      <t>NOTE: To justify increased P&amp;R for tow distance, I recommend input for weather delay is removed from raft cost calculator.</t>
    </r>
  </si>
  <si>
    <t xml:space="preserve">     If &lt;250 miles,  then 0 adjustment</t>
  </si>
  <si>
    <t xml:space="preserve">   &lt;125 miles = appraisal assumptions likely cover risk; no increased risk for losses = no adjustment</t>
  </si>
  <si>
    <t xml:space="preserve">   125+ miles = significantly higher (33%) than 10yr Avg = appraisal assumptions likely don't cover increased risk for losses = +1% adjustment</t>
  </si>
  <si>
    <r>
      <t xml:space="preserve">3) </t>
    </r>
    <r>
      <rPr>
        <b/>
        <sz val="11"/>
        <rFont val="Arial"/>
        <family val="2"/>
      </rPr>
      <t>Minimum Utilization Standards</t>
    </r>
    <r>
      <rPr>
        <sz val="11"/>
        <rFont val="Arial"/>
        <family val="2"/>
      </rPr>
      <t xml:space="preserve"> (DIB= small end diameter inside bark):</t>
    </r>
  </si>
  <si>
    <r>
      <t xml:space="preserve">Utilization: </t>
    </r>
    <r>
      <rPr>
        <sz val="10"/>
        <rFont val="Arial"/>
        <family val="2"/>
      </rPr>
      <t xml:space="preserve"> Scale data for delivered logs 2010-2016 shows less than 0.1% of delivered logs are &lt;7.0" DIB and &lt;16 feet, evidence there is no economic market for logs &lt;7" DIB.</t>
    </r>
  </si>
  <si>
    <t xml:space="preserve">     If 7.0" DIB and 16.0 feet,  then 0 adjustment</t>
  </si>
  <si>
    <t xml:space="preserve">   7.0" DIB and 16.0 feet required utilization = aligns with price indices used to forecast end-product selling values = no adjustment</t>
  </si>
  <si>
    <t xml:space="preserve">   9.0" DIB required utilization = reduced risk for losses with ability to maximize product value from preferred lengths = -1% adjustment</t>
  </si>
  <si>
    <r>
      <rPr>
        <b/>
        <sz val="10"/>
        <rFont val="Arial"/>
        <family val="2"/>
      </rPr>
      <t>Market risk:</t>
    </r>
    <r>
      <rPr>
        <sz val="10"/>
        <rFont val="Arial"/>
        <family val="2"/>
      </rPr>
      <t xml:space="preserve">  25% market change is the Forest Service standard for emergency rate redeterminations; flat rate contracts increase risk for losses if appraised markets fluctuate significantly (+/- 25%) during contract period.</t>
    </r>
  </si>
  <si>
    <t xml:space="preserve">   25% market increase = significantly increased risk for losses furing contract period = +1% adjustment</t>
  </si>
  <si>
    <t xml:space="preserve">   25% market decrease = significantly reduced risk for losses during contract period = -1% adjustment</t>
  </si>
  <si>
    <t xml:space="preserve">Calculated P&amp;R %      </t>
  </si>
  <si>
    <t xml:space="preserve">P&amp;R/(1+P&amp;R) =  Effective P&amp;R   applied to Selling Value     </t>
  </si>
  <si>
    <t>OG SS 
18.0+ DIB</t>
  </si>
  <si>
    <t xml:space="preserve">Other SS </t>
  </si>
  <si>
    <t>Species Code</t>
  </si>
  <si>
    <t>098</t>
  </si>
  <si>
    <t>098 098Y</t>
  </si>
  <si>
    <t>263 263Y</t>
  </si>
  <si>
    <t>042</t>
  </si>
  <si>
    <t>Avg</t>
  </si>
  <si>
    <r>
      <rPr>
        <b/>
        <i/>
        <sz val="9"/>
        <rFont val="Arial"/>
        <family val="2"/>
      </rPr>
      <t xml:space="preserve">Sawn = </t>
    </r>
    <r>
      <rPr>
        <i/>
        <sz val="9"/>
        <rFont val="Arial"/>
        <family val="2"/>
      </rPr>
      <t xml:space="preserve">domestic processing within State of Alaska; </t>
    </r>
    <r>
      <rPr>
        <b/>
        <i/>
        <sz val="9"/>
        <rFont val="Arial"/>
        <family val="2"/>
      </rPr>
      <t xml:space="preserve">Export = </t>
    </r>
    <r>
      <rPr>
        <i/>
        <sz val="9"/>
        <rFont val="Arial"/>
        <family val="2"/>
      </rPr>
      <t xml:space="preserve">round-logs exported outside of Alaska;  </t>
    </r>
    <r>
      <rPr>
        <b/>
        <i/>
        <sz val="9"/>
        <rFont val="Arial"/>
        <family val="2"/>
      </rPr>
      <t>DIB</t>
    </r>
    <r>
      <rPr>
        <i/>
        <sz val="9"/>
        <rFont val="Arial"/>
        <family val="2"/>
      </rPr>
      <t xml:space="preserve"> = diameter inside bark, small end of log;  </t>
    </r>
    <r>
      <rPr>
        <b/>
        <i/>
        <sz val="9"/>
        <rFont val="Arial"/>
        <family val="2"/>
      </rPr>
      <t>SV</t>
    </r>
    <r>
      <rPr>
        <i/>
        <sz val="9"/>
        <rFont val="Arial"/>
        <family val="2"/>
      </rPr>
      <t>= Selling Value;</t>
    </r>
  </si>
  <si>
    <r>
      <rPr>
        <b/>
        <i/>
        <sz val="9"/>
        <rFont val="Arial"/>
        <family val="2"/>
      </rPr>
      <t>LS</t>
    </r>
    <r>
      <rPr>
        <i/>
        <sz val="9"/>
        <rFont val="Arial"/>
        <family val="2"/>
      </rPr>
      <t xml:space="preserve">= Log Scale; </t>
    </r>
    <r>
      <rPr>
        <b/>
        <i/>
        <sz val="9"/>
        <rFont val="Arial"/>
        <family val="2"/>
      </rPr>
      <t>fob AK</t>
    </r>
    <r>
      <rPr>
        <i/>
        <sz val="9"/>
        <rFont val="Arial"/>
        <family val="2"/>
      </rPr>
      <t xml:space="preserve">= Free on board Alaska (price does not include freight outside of AK);  </t>
    </r>
    <r>
      <rPr>
        <b/>
        <i/>
        <sz val="9"/>
        <rFont val="Arial"/>
        <family val="2"/>
      </rPr>
      <t>fas AK=</t>
    </r>
    <r>
      <rPr>
        <i/>
        <sz val="9"/>
        <rFont val="Arial"/>
        <family val="2"/>
      </rPr>
      <t xml:space="preserve"> Free alongside ship Alaska (price does not include freight outside AK); </t>
    </r>
  </si>
  <si>
    <r>
      <rPr>
        <b/>
        <i/>
        <sz val="9"/>
        <rFont val="Arial"/>
        <family val="2"/>
      </rPr>
      <t xml:space="preserve">Effective P&amp;R </t>
    </r>
    <r>
      <rPr>
        <i/>
        <sz val="9"/>
        <rFont val="Arial"/>
        <family val="2"/>
      </rPr>
      <t>(Profit &amp; Risk)</t>
    </r>
    <r>
      <rPr>
        <b/>
        <i/>
        <sz val="9"/>
        <rFont val="Arial"/>
        <family val="2"/>
      </rPr>
      <t xml:space="preserve"> =</t>
    </r>
    <r>
      <rPr>
        <i/>
        <sz val="9"/>
        <rFont val="Arial"/>
        <family val="2"/>
      </rPr>
      <t xml:space="preserve"> %P&amp;R/(1 + %P&amp;R)  used to prevent profit on profit calculation</t>
    </r>
  </si>
  <si>
    <t xml:space="preserve">P&amp;R % Sawn sales  </t>
  </si>
  <si>
    <t xml:space="preserve">P&amp;R % Log sales </t>
  </si>
  <si>
    <r>
      <rPr>
        <b/>
        <sz val="9"/>
        <rFont val="Arial"/>
        <family val="2"/>
      </rPr>
      <t xml:space="preserve">Effective </t>
    </r>
    <r>
      <rPr>
        <sz val="9"/>
        <rFont val="Arial"/>
        <family val="2"/>
      </rPr>
      <t>P&amp;R</t>
    </r>
  </si>
  <si>
    <t>NMBF Dom Mfg</t>
  </si>
  <si>
    <t>Log Sort</t>
  </si>
  <si>
    <t>VDR Dom</t>
  </si>
  <si>
    <t>Total DomQtrSV</t>
  </si>
  <si>
    <t>DMfgCDR</t>
  </si>
  <si>
    <t>TotalDomMfg</t>
  </si>
  <si>
    <t>NMBF Export</t>
  </si>
  <si>
    <t>VDR Exp</t>
  </si>
  <si>
    <t>Total ExpQtrSV</t>
  </si>
  <si>
    <t>ExpMfgCDR</t>
  </si>
  <si>
    <t>TotalExportMfg</t>
  </si>
  <si>
    <t>Current Qtr</t>
  </si>
  <si>
    <t>$100 change triggers  +2 -2% P&amp;R adjustment (mkt risk)</t>
  </si>
  <si>
    <t>Dom mkt chg</t>
  </si>
  <si>
    <t>Exp mkt chg</t>
  </si>
  <si>
    <t>Total DomBYSV</t>
  </si>
  <si>
    <t>VDR Export</t>
  </si>
  <si>
    <t>Total ExpBYSV</t>
  </si>
  <si>
    <t xml:space="preserve">Base Year </t>
  </si>
  <si>
    <t xml:space="preserve">Appraisal Group </t>
  </si>
  <si>
    <t>OG SS</t>
  </si>
  <si>
    <t>YG SS</t>
  </si>
  <si>
    <t xml:space="preserve">HEM </t>
  </si>
  <si>
    <t>Total  / Avg</t>
  </si>
  <si>
    <t>Sale MBF net</t>
  </si>
  <si>
    <t>Sale SV</t>
  </si>
  <si>
    <t>AK Domestic Mfg  MBF net</t>
  </si>
  <si>
    <t>AK Domestic Mfg  SV fobAK mill</t>
  </si>
  <si>
    <t>% export</t>
  </si>
  <si>
    <t>L48 MBF net</t>
  </si>
  <si>
    <t>L48 SV  fobAK mill</t>
  </si>
  <si>
    <t>hs + ayc +wrc</t>
  </si>
  <si>
    <t>Log Export MBF net</t>
  </si>
  <si>
    <t>hs+ayc</t>
  </si>
  <si>
    <t>Log Export SV  fasAK</t>
  </si>
  <si>
    <t>hs</t>
  </si>
  <si>
    <t>Sale mfg cost</t>
  </si>
  <si>
    <t>AK Domestic Mfg</t>
  </si>
  <si>
    <t>L48 Mfg</t>
  </si>
  <si>
    <t>Log Export Mfg</t>
  </si>
  <si>
    <t xml:space="preserve">Log Export SV gain from DIB utiliz change </t>
  </si>
  <si>
    <t>Begin hidden rows</t>
  </si>
  <si>
    <t>PLV</t>
  </si>
  <si>
    <t>P&amp;R Calculation</t>
  </si>
  <si>
    <t>Sawn Sales</t>
  </si>
  <si>
    <t>Export Log Sales</t>
  </si>
  <si>
    <t>Wted Avg Effective P&amp;R</t>
  </si>
  <si>
    <t>Species P&amp;R Calculations</t>
  </si>
  <si>
    <t>sawn mls</t>
  </si>
  <si>
    <t>log sales mls</t>
  </si>
  <si>
    <t>total sawn sv</t>
  </si>
  <si>
    <t>total exp sv</t>
  </si>
  <si>
    <t>sawn sv/mls</t>
  </si>
  <si>
    <t>log sales sv/mls</t>
  </si>
  <si>
    <t>sawn eff P&amp;R</t>
  </si>
  <si>
    <t>exp eff P&amp;R</t>
  </si>
  <si>
    <t>% FM exp mbf</t>
  </si>
  <si>
    <t>% L48 mbf</t>
  </si>
  <si>
    <t>SS exp log sales nmbf</t>
  </si>
  <si>
    <t>Hem exp log sales</t>
  </si>
  <si>
    <t>ayc exp log sales</t>
  </si>
  <si>
    <t>wrc L48 log sales</t>
  </si>
  <si>
    <t>total exp log sales nmbf</t>
  </si>
  <si>
    <t>Percent</t>
  </si>
  <si>
    <t>DROPLISTS</t>
  </si>
  <si>
    <t>SED utiliz</t>
  </si>
  <si>
    <t>P&amp;R</t>
  </si>
  <si>
    <t>Export Step</t>
  </si>
  <si>
    <t>COR Cert</t>
  </si>
  <si>
    <t>No</t>
  </si>
  <si>
    <t xml:space="preserve">VALUE GAIN  ( 9" DIB) </t>
  </si>
  <si>
    <t>FAS AK</t>
  </si>
  <si>
    <t>species</t>
  </si>
  <si>
    <t>nmbf</t>
  </si>
  <si>
    <t>% exp</t>
  </si>
  <si>
    <t>exp NMBF</t>
  </si>
  <si>
    <t>avg exp value 7" DIB</t>
  </si>
  <si>
    <t>VDR 9" DIB</t>
  </si>
  <si>
    <t>avg exp value 9"DIB</t>
  </si>
  <si>
    <t xml:space="preserve">from 7 to 9" value gain/mbf </t>
  </si>
  <si>
    <t>9"  DIB value gain</t>
  </si>
  <si>
    <t>OG ss</t>
  </si>
  <si>
    <t>hem</t>
  </si>
  <si>
    <t>ayc</t>
  </si>
  <si>
    <t>End of hidden rows</t>
  </si>
  <si>
    <t xml:space="preserve"> Sawlog NMBF</t>
  </si>
  <si>
    <t>Total Cost</t>
  </si>
  <si>
    <t>$ per Net MBF</t>
  </si>
  <si>
    <t>OG Shovel CC (includes F&amp;B)</t>
  </si>
  <si>
    <t>OG Short Span Cable CC (includes F&amp;B)</t>
  </si>
  <si>
    <t>YG Ground-based stump-to-truck  (includes F&amp;B)</t>
  </si>
  <si>
    <t>YG Cable stump-to-truck  (includes F&amp;B)</t>
  </si>
  <si>
    <t xml:space="preserve">OG Conventional Logging </t>
  </si>
  <si>
    <t xml:space="preserve">YG Conventional Logging </t>
  </si>
  <si>
    <t>Conventional Logging (incl F&amp;B &amp; Mobe)</t>
  </si>
  <si>
    <t>OG Helicopter (incl F&amp;B &amp; Mobe)</t>
  </si>
  <si>
    <t>YG Helicopter (incl F&amp;B &amp; Mobe)</t>
  </si>
  <si>
    <t>ALL OG &amp; YG Stump to Truck</t>
  </si>
  <si>
    <t>OG Haul</t>
  </si>
  <si>
    <t>YG Haul</t>
  </si>
  <si>
    <t>OG &amp; YG Haul</t>
  </si>
  <si>
    <t>Total Rafting or Barging Cost</t>
  </si>
  <si>
    <t>Pre-haul Road Maintenance</t>
  </si>
  <si>
    <t>Post-haul Road Maintenance and Brush Disposal</t>
  </si>
  <si>
    <t>Temporary road and other development</t>
  </si>
  <si>
    <t>Logging Camp</t>
  </si>
  <si>
    <t>Other Logging Costs &amp; Unusual Adjustments</t>
  </si>
  <si>
    <t>sum Camp+Other+Adjustments</t>
  </si>
  <si>
    <t>Stump to Mill</t>
  </si>
  <si>
    <t>Specified Road Construction &amp; Development</t>
  </si>
  <si>
    <t>Specified Road Reconstruction</t>
  </si>
  <si>
    <t>Stump to Mill including roads</t>
  </si>
  <si>
    <t>Line item</t>
  </si>
  <si>
    <t xml:space="preserve">RV APPRAISAL  2400-17  SUMMARY </t>
  </si>
  <si>
    <t>Appraisal Yr_Qtr</t>
  </si>
  <si>
    <t>Species% of Total Net MBF</t>
  </si>
  <si>
    <t>Appraisal Group</t>
  </si>
  <si>
    <t>HEM</t>
  </si>
  <si>
    <t>TOTAL</t>
  </si>
  <si>
    <t>Species code</t>
  </si>
  <si>
    <t>263   263Y</t>
  </si>
  <si>
    <t>ALL</t>
  </si>
  <si>
    <t>Product - Unit of Measure</t>
  </si>
  <si>
    <t>Sawlog - MBF LS</t>
  </si>
  <si>
    <t>Removal Requirement</t>
  </si>
  <si>
    <t>required</t>
  </si>
  <si>
    <t>Net MBF</t>
  </si>
  <si>
    <t>End-product SV</t>
  </si>
  <si>
    <t>Manufacturing Costs</t>
  </si>
  <si>
    <t>Pond Log Value</t>
  </si>
  <si>
    <t xml:space="preserve">Conventional F&amp;B &amp; Yard </t>
  </si>
  <si>
    <t xml:space="preserve">Heli F&amp;B &amp; Yard </t>
  </si>
  <si>
    <t>All Stump to Truck</t>
  </si>
  <si>
    <t>Haul</t>
  </si>
  <si>
    <t>Total Barging or Rafting Cost</t>
  </si>
  <si>
    <t>Post-haul Road Maintenance &amp; BD</t>
  </si>
  <si>
    <t>Temp Road &amp; other development</t>
  </si>
  <si>
    <t>Other logging cost  &amp; unusual adjust</t>
  </si>
  <si>
    <t>Specified Road Construction &amp; Dev</t>
  </si>
  <si>
    <r>
      <t xml:space="preserve">Stump to Mill  </t>
    </r>
    <r>
      <rPr>
        <sz val="11"/>
        <rFont val="Arial"/>
        <family val="2"/>
      </rPr>
      <t>including roads</t>
    </r>
  </si>
  <si>
    <t>Total Production Costs</t>
  </si>
  <si>
    <t>Conversion</t>
  </si>
  <si>
    <t>Effective P&amp;R %</t>
  </si>
  <si>
    <t>P&amp;R Margin</t>
  </si>
  <si>
    <t>Indicated Advertised Rates</t>
  </si>
  <si>
    <t>Indicated Advertised total</t>
  </si>
  <si>
    <t>Minimum Rates</t>
  </si>
  <si>
    <t>Minimum Total</t>
  </si>
  <si>
    <t>Essential Regeneration</t>
  </si>
  <si>
    <t>Essential Regeneration + NFF</t>
  </si>
  <si>
    <t>Timber Property Value</t>
  </si>
  <si>
    <t>Increase needed to minimum rates</t>
  </si>
  <si>
    <t>above/below minimum rates/MBF</t>
  </si>
  <si>
    <t>Total deficit</t>
  </si>
  <si>
    <t>Total surplus</t>
  </si>
  <si>
    <t>Adjustment to base rates total</t>
  </si>
  <si>
    <t>Adjustment to base rates</t>
  </si>
  <si>
    <t>Base Rates</t>
  </si>
  <si>
    <t>Base Rate total</t>
  </si>
  <si>
    <t>above/below base rates/MBF</t>
  </si>
  <si>
    <t>Adjusted surplus</t>
  </si>
  <si>
    <t>Adjustment to Advertised Rates</t>
  </si>
  <si>
    <t>Advertised Rates</t>
  </si>
  <si>
    <t>Advertised Total</t>
  </si>
  <si>
    <t>Sale deficit amount</t>
  </si>
  <si>
    <t>Appraiser Notes</t>
  </si>
  <si>
    <t>Need for Camp Calculator</t>
  </si>
  <si>
    <t>NMBF_Rmvd</t>
  </si>
  <si>
    <t>OG Heli</t>
  </si>
  <si>
    <t>OG Cable</t>
  </si>
  <si>
    <t>OG Shovel</t>
  </si>
  <si>
    <t>YG Heli</t>
  </si>
  <si>
    <t xml:space="preserve">YG Cable </t>
  </si>
  <si>
    <t>YG Shovel/Groundbased</t>
  </si>
  <si>
    <t>Need for Tow Calculator</t>
  </si>
  <si>
    <t>Dom NMBF</t>
  </si>
  <si>
    <t>Export NMBF</t>
  </si>
  <si>
    <t>OG SS 18.0" DIB saw</t>
  </si>
  <si>
    <t>OG SS &lt;18.0" DIB saw</t>
  </si>
  <si>
    <t>YG SS saw all DIB</t>
  </si>
  <si>
    <t>AYC saw all DIB</t>
  </si>
  <si>
    <t>WRC saw all DIB</t>
  </si>
  <si>
    <t>Total saw</t>
  </si>
  <si>
    <t>TOWED to  Dom Appraisal Pt</t>
  </si>
  <si>
    <t>TOWED to Exp Appraisal Pt</t>
  </si>
  <si>
    <t>Input TOWED NMBF</t>
  </si>
  <si>
    <t>Input Tow RTD (from GIS)</t>
  </si>
  <si>
    <t>Wted Avg TOW RTD</t>
  </si>
  <si>
    <t>Enter any appraiser notes below:</t>
  </si>
  <si>
    <t>YG harv acres</t>
  </si>
  <si>
    <t>$600 for prebunch volume &amp; 7" dib top;  add $65/nmbf for volume with no prebunch;  if avg removed log = 0.200+ nmbf contact RO valuation for assistance.</t>
  </si>
  <si>
    <t>Stewardship End Results Contracting - 16 U.S.C. 6591c  (Y/N)</t>
  </si>
  <si>
    <t>Scaled Contract  (Y/N)</t>
  </si>
  <si>
    <t>098Y</t>
  </si>
  <si>
    <t xml:space="preserve"> 263Y</t>
  </si>
  <si>
    <t xml:space="preserve"> 263</t>
  </si>
  <si>
    <t>OG Hem All DIB sawlog</t>
  </si>
  <si>
    <t>YG Hem All DIB Sawlog</t>
  </si>
  <si>
    <t>OG Hem</t>
  </si>
  <si>
    <t>YG Hem</t>
  </si>
  <si>
    <t>OG &amp; YG Hem All DIB sawlog</t>
  </si>
  <si>
    <t>OG Hem saw all DIB</t>
  </si>
  <si>
    <t>YG Hem saw all DIB</t>
  </si>
  <si>
    <t>Essential KV Total (N/A for Stewardship End Results Contracting)</t>
  </si>
  <si>
    <r>
      <rPr>
        <b/>
        <i/>
        <sz val="11"/>
        <color theme="1"/>
        <rFont val="Calibri"/>
        <family val="2"/>
        <scheme val="minor"/>
      </rPr>
      <t xml:space="preserve">Export </t>
    </r>
    <r>
      <rPr>
        <b/>
        <sz val="11"/>
        <color theme="1"/>
        <rFont val="Calibri"/>
        <family val="2"/>
        <scheme val="minor"/>
      </rPr>
      <t>AVG &amp; TOTAL Value Gain (9" DIB)</t>
    </r>
  </si>
  <si>
    <t>Domestic</t>
  </si>
  <si>
    <r>
      <rPr>
        <b/>
        <i/>
        <sz val="11"/>
        <color theme="1"/>
        <rFont val="Calibri"/>
        <family val="2"/>
        <scheme val="minor"/>
      </rPr>
      <t xml:space="preserve">Domestic </t>
    </r>
    <r>
      <rPr>
        <b/>
        <sz val="11"/>
        <color theme="1"/>
        <rFont val="Calibri"/>
        <family val="2"/>
        <scheme val="minor"/>
      </rPr>
      <t>AVG &amp; TOTAL Value Gain (9" DIB)</t>
    </r>
  </si>
  <si>
    <t>dom NMBF</t>
  </si>
  <si>
    <t>fob AK</t>
  </si>
  <si>
    <t>avg dom value 9"DIB</t>
  </si>
  <si>
    <t>avg dom value 
7" DIB</t>
  </si>
  <si>
    <t xml:space="preserve">Domestic SV gain from DIB utiliz change </t>
  </si>
  <si>
    <t>BY24 = IF(B2&gt;65,66537/(-0.02152*G2+229.719)*(0.0085*B2+0.4552),66537/(-0.02152*G2+229.719))*D2</t>
  </si>
  <si>
    <r>
      <t xml:space="preserve">4) </t>
    </r>
    <r>
      <rPr>
        <b/>
        <sz val="11"/>
        <rFont val="Arial"/>
        <family val="2"/>
      </rPr>
      <t xml:space="preserve">Market Risk </t>
    </r>
    <r>
      <rPr>
        <sz val="11"/>
        <rFont val="Arial"/>
        <family val="2"/>
      </rPr>
      <t xml:space="preserve">associated with </t>
    </r>
    <r>
      <rPr>
        <b/>
        <sz val="11"/>
        <rFont val="Arial"/>
        <family val="2"/>
      </rPr>
      <t>flat rate sales (</t>
    </r>
    <r>
      <rPr>
        <sz val="11"/>
        <rFont val="Arial"/>
        <family val="2"/>
      </rPr>
      <t>higher risk in high market):</t>
    </r>
  </si>
  <si>
    <r>
      <rPr>
        <b/>
        <sz val="10"/>
        <color indexed="8"/>
        <rFont val="Arial"/>
        <family val="2"/>
      </rPr>
      <t>OG</t>
    </r>
    <r>
      <rPr>
        <sz val="10"/>
        <color indexed="8"/>
        <rFont val="Arial"/>
        <family val="2"/>
      </rPr>
      <t xml:space="preserve"> Shovel CC % by Net Sawlog</t>
    </r>
  </si>
  <si>
    <t xml:space="preserve">1) Sufficient economic timber supply to sustain current industry and establish new markets; </t>
  </si>
  <si>
    <t xml:space="preserve">     If 1-50%,  then +0.5 adjustment </t>
  </si>
  <si>
    <t xml:space="preserve">     If 250+ miles,  then +0.5 adjustment</t>
  </si>
  <si>
    <t xml:space="preserve">     If 9.0" DIB and 16.0 feet,  then -1.0 adjustment</t>
  </si>
  <si>
    <t xml:space="preserve">     If sawn or export high market ($100 increase from Base Year),  then +1.0 adjustment for respective market</t>
  </si>
  <si>
    <t xml:space="preserve">     If sawn or export low market ($100 decrease from Base Year),  then -1.0 adjustment for respective market</t>
  </si>
  <si>
    <t xml:space="preserve">     If 50+%,   then +1.0 adjustment</t>
  </si>
  <si>
    <t xml:space="preserve">     If 0%,      then 0 adjustment</t>
  </si>
  <si>
    <t xml:space="preserve">2) Continued economic disruptions associated with labor market and inflation; </t>
  </si>
  <si>
    <t>5) Allowance for interest and profit &amp; risk that is excluded from all cost centers.</t>
  </si>
  <si>
    <t>3) Continued uncertainty in viable export markets;</t>
  </si>
  <si>
    <t>4) Unexpected losses (i.e. equipment underutilization, litigation, increased freight, currency exchange);</t>
  </si>
  <si>
    <t>mbf net</t>
  </si>
  <si>
    <t xml:space="preserve"> INPUT Page for  R10 RV Appraisal  070226</t>
  </si>
  <si>
    <t>2026 Q1</t>
  </si>
  <si>
    <t>BY25 = IF(B2&gt;65,72157/(-0.02152*G2+229.719)*(0.0085*B2+0.4552),72157/(-0.02152*G2+229.719))*D2</t>
  </si>
  <si>
    <t xml:space="preserve">Base Year 2025 &amp; Quarterly Update </t>
  </si>
  <si>
    <t>BY2025 avg Sawn SV MBF LS fob AK, includes By-Product value</t>
  </si>
  <si>
    <t xml:space="preserve">BY2025 avg Export SV MBF LS fas AK </t>
  </si>
  <si>
    <t>2026-Q1 Update Factor Sawn SV</t>
  </si>
  <si>
    <t>2026-Q1 Update Factor Export SV</t>
  </si>
  <si>
    <r>
      <rPr>
        <b/>
        <sz val="11"/>
        <rFont val="Arial"/>
        <family val="2"/>
      </rPr>
      <t>2026-Q1</t>
    </r>
    <r>
      <rPr>
        <sz val="11"/>
        <rFont val="Arial"/>
        <family val="2"/>
      </rPr>
      <t xml:space="preserve"> avg </t>
    </r>
    <r>
      <rPr>
        <b/>
        <sz val="11"/>
        <rFont val="Arial"/>
        <family val="2"/>
      </rPr>
      <t xml:space="preserve">Sawn SV </t>
    </r>
    <r>
      <rPr>
        <sz val="11"/>
        <rFont val="Arial"/>
        <family val="2"/>
      </rPr>
      <t>MBF LS fob AK, includes By-Product value</t>
    </r>
  </si>
  <si>
    <r>
      <t xml:space="preserve">2026-Q1 </t>
    </r>
    <r>
      <rPr>
        <sz val="11"/>
        <rFont val="Arial"/>
        <family val="2"/>
      </rPr>
      <t xml:space="preserve">avg </t>
    </r>
    <r>
      <rPr>
        <b/>
        <sz val="11"/>
        <rFont val="Arial"/>
        <family val="2"/>
      </rPr>
      <t>Export SV</t>
    </r>
    <r>
      <rPr>
        <sz val="11"/>
        <rFont val="Arial"/>
        <family val="2"/>
      </rPr>
      <t xml:space="preserve"> MBF LS fas AK</t>
    </r>
  </si>
  <si>
    <r>
      <t xml:space="preserve">BY2025 avg </t>
    </r>
    <r>
      <rPr>
        <b/>
        <sz val="11"/>
        <rFont val="Arial"/>
        <family val="2"/>
      </rPr>
      <t>Sawn Mfg Cost</t>
    </r>
    <r>
      <rPr>
        <sz val="11"/>
        <rFont val="Arial"/>
        <family val="2"/>
      </rPr>
      <t xml:space="preserve"> MBF LS </t>
    </r>
  </si>
  <si>
    <r>
      <t xml:space="preserve">BY2025 avg </t>
    </r>
    <r>
      <rPr>
        <b/>
        <sz val="11"/>
        <rFont val="Arial"/>
        <family val="2"/>
      </rPr>
      <t xml:space="preserve">Export Mfg Cost </t>
    </r>
    <r>
      <rPr>
        <sz val="11"/>
        <rFont val="Arial"/>
        <family val="2"/>
      </rPr>
      <t xml:space="preserve">MBF LS </t>
    </r>
  </si>
  <si>
    <t xml:space="preserve"> BY2025 Logging Costs</t>
  </si>
  <si>
    <r>
      <rPr>
        <b/>
        <sz val="11"/>
        <rFont val="Arial"/>
        <family val="2"/>
      </rPr>
      <t xml:space="preserve">BY25 </t>
    </r>
    <r>
      <rPr>
        <b/>
        <sz val="12"/>
        <rFont val="Arial"/>
        <family val="2"/>
      </rPr>
      <t>Standard Risk Allowance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 xml:space="preserve"> for</t>
    </r>
    <r>
      <rPr>
        <sz val="11"/>
        <rFont val="Arial"/>
        <family val="2"/>
      </rPr>
      <t xml:space="preserve"> wide range of uncertainties &amp; risks </t>
    </r>
    <r>
      <rPr>
        <b/>
        <sz val="11"/>
        <rFont val="Arial"/>
        <family val="2"/>
      </rPr>
      <t>common</t>
    </r>
    <r>
      <rPr>
        <sz val="11"/>
        <rFont val="Arial"/>
        <family val="2"/>
      </rPr>
      <t xml:space="preserve"> on all Tongass sales, including: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</si>
</sst>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(&quot;$&quot;* #,##0_);_(&quot;$&quot;* \(#,##0\);_(&quot;$&quot;* &quot;-&quot;??_);_(@_)"/>
    <numFmt numFmtId="166" formatCode="&quot;$&quot;#,##0"/>
    <numFmt numFmtId="167" formatCode="_(* #,##0_);_(* \(#,##0\);_(* &quot;-&quot;??_);_(@_)"/>
    <numFmt numFmtId="168" formatCode=";;;"/>
    <numFmt numFmtId="169" formatCode="&quot;$&quot;#,##0.00"/>
    <numFmt numFmtId="170" formatCode="0.0000"/>
    <numFmt numFmtId="171" formatCode="0.0%"/>
    <numFmt numFmtId="172" formatCode="#,##0.000"/>
    <numFmt numFmtId="173" formatCode="#,##0.0000_);\(#,##0.0000\)"/>
    <numFmt numFmtId="174" formatCode="_(* #,##0.000_);_(* \(#,##0.000\);_(* &quot;-&quot;??_);_(@_)"/>
    <numFmt numFmtId="175" formatCode="0.0"/>
    <numFmt numFmtId="176" formatCode="#,##0.0"/>
    <numFmt numFmtId="177" formatCode="_(&quot;$&quot;* #,##0.0_);_(&quot;$&quot;* \(#,##0.0\);_(&quot;$&quot;* &quot;-&quot;??_);_(@_)"/>
  </numFmts>
  <fonts count="95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b/>
      <sz val="8.5"/>
      <name val="MS Sans Serif"/>
      <family val="2"/>
    </font>
    <font>
      <sz val="11"/>
      <color theme="1"/>
      <name val="Calibri"/>
      <family val="2"/>
      <scheme val="minor"/>
    </font>
    <font>
      <sz val="8.5"/>
      <name val="MS Sans Serif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.5"/>
      <color indexed="10"/>
      <name val="MS Sans Serif"/>
      <family val="2"/>
    </font>
    <font>
      <sz val="8"/>
      <color indexed="81"/>
      <name val="Tahoma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8.5"/>
      <color rgb="FF0000FF"/>
      <name val="MS Sans Serif"/>
      <family val="2"/>
    </font>
    <font>
      <sz val="10"/>
      <name val="MS Sans Serif"/>
      <family val="2"/>
    </font>
    <font>
      <sz val="8"/>
      <color rgb="FF0000FF"/>
      <name val="MS Sans Serif"/>
      <family val="2"/>
    </font>
    <font>
      <sz val="10"/>
      <name val="Arial"/>
      <family val="2"/>
    </font>
    <font>
      <b/>
      <sz val="12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8.5"/>
      <name val="Arial"/>
      <family val="2"/>
    </font>
    <font>
      <sz val="9"/>
      <color theme="1"/>
      <name val="Arial"/>
      <family val="2"/>
    </font>
    <font>
      <sz val="10"/>
      <color rgb="FF0033CC"/>
      <name val="Arial"/>
      <family val="2"/>
    </font>
    <font>
      <b/>
      <sz val="10"/>
      <color rgb="FF0033CC"/>
      <name val="Arial"/>
      <family val="2"/>
    </font>
    <font>
      <b/>
      <sz val="11"/>
      <color indexed="8"/>
      <name val="Arial"/>
      <family val="2"/>
    </font>
    <font>
      <sz val="12"/>
      <color theme="1"/>
      <name val="Arial"/>
      <family val="2"/>
    </font>
    <font>
      <sz val="7"/>
      <name val="MS Sans Serif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sz val="12"/>
      <name val="Calibri"/>
      <family val="2"/>
      <scheme val="minor"/>
    </font>
    <font>
      <i/>
      <sz val="10"/>
      <name val="Arial"/>
      <family val="2"/>
    </font>
    <font>
      <b/>
      <sz val="11"/>
      <color rgb="FF0033CC"/>
      <name val="Arial"/>
      <family val="2"/>
    </font>
    <font>
      <sz val="11"/>
      <color rgb="FF0033CC"/>
      <name val="Arial"/>
      <family val="2"/>
    </font>
    <font>
      <sz val="12"/>
      <name val="MS Sans Serif"/>
      <family val="2"/>
    </font>
    <font>
      <b/>
      <sz val="11"/>
      <color rgb="FFFF0000"/>
      <name val="Calibri"/>
      <family val="2"/>
      <scheme val="minor"/>
    </font>
    <font>
      <sz val="10.5"/>
      <name val="Arial"/>
      <family val="2"/>
    </font>
    <font>
      <b/>
      <sz val="11"/>
      <color rgb="FF008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FF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name val="MS Sans Serif"/>
      <family val="2"/>
    </font>
    <font>
      <sz val="10"/>
      <color indexed="81"/>
      <name val="Tahoma"/>
      <family val="2"/>
    </font>
    <font>
      <b/>
      <sz val="10.5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b/>
      <sz val="12"/>
      <color indexed="10"/>
      <name val="MS Sans Serif"/>
      <family val="2"/>
    </font>
    <font>
      <b/>
      <sz val="10"/>
      <name val="MS Sans Serif"/>
      <family val="2"/>
    </font>
    <font>
      <sz val="10"/>
      <color rgb="FF0033CC"/>
      <name val="MS Sans Serif"/>
      <family val="2"/>
    </font>
    <font>
      <b/>
      <sz val="10"/>
      <name val="MS Sans Serif"/>
    </font>
    <font>
      <b/>
      <sz val="10"/>
      <name val="Microsoft Sans Serif"/>
      <family val="2"/>
    </font>
    <font>
      <sz val="10"/>
      <name val="MS Sans Serif"/>
    </font>
    <font>
      <b/>
      <sz val="10"/>
      <color rgb="FF0000FF"/>
      <name val="MS Sans Serif"/>
      <family val="2"/>
    </font>
    <font>
      <sz val="10"/>
      <color theme="1"/>
      <name val="Calibri"/>
      <family val="2"/>
      <scheme val="minor"/>
    </font>
    <font>
      <b/>
      <sz val="10"/>
      <color rgb="FF0033CC"/>
      <name val="MS Sans Serif"/>
      <family val="2"/>
    </font>
    <font>
      <sz val="10"/>
      <color rgb="FFFF0000"/>
      <name val="Arial"/>
      <family val="2"/>
    </font>
    <font>
      <b/>
      <sz val="14"/>
      <color indexed="8"/>
      <name val="Arial"/>
      <family val="2"/>
    </font>
    <font>
      <b/>
      <sz val="11"/>
      <color theme="1"/>
      <name val="Arial"/>
      <family val="2"/>
    </font>
    <font>
      <strike/>
      <sz val="10"/>
      <name val="MS Sans Serif"/>
      <family val="2"/>
    </font>
    <font>
      <strike/>
      <sz val="10"/>
      <name val="MS Sans Serif"/>
    </font>
    <font>
      <strike/>
      <sz val="10"/>
      <color rgb="FF0033CC"/>
      <name val="Arial"/>
      <family val="2"/>
    </font>
    <font>
      <strike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name val="MS Sans Serif"/>
    </font>
    <font>
      <sz val="10"/>
      <name val="Microsoft Sans Serif"/>
      <family val="2"/>
    </font>
    <font>
      <b/>
      <sz val="9"/>
      <name val="Microsoft Sans Serif"/>
      <family val="2"/>
    </font>
    <font>
      <sz val="9"/>
      <name val="Microsoft Sans Serif"/>
      <family val="2"/>
    </font>
    <font>
      <b/>
      <sz val="9"/>
      <color rgb="FF0000FF"/>
      <name val="Microsoft Sans Serif"/>
      <family val="2"/>
    </font>
    <font>
      <b/>
      <sz val="10"/>
      <color rgb="FF0000FF"/>
      <name val="Microsoft Sans Serif"/>
      <family val="2"/>
    </font>
    <font>
      <b/>
      <sz val="9"/>
      <color rgb="FFFF0000"/>
      <name val="Arial"/>
      <family val="2"/>
    </font>
    <font>
      <b/>
      <sz val="10"/>
      <color indexed="8"/>
      <name val="Microsoft Sans Serif"/>
      <family val="2"/>
    </font>
    <font>
      <sz val="10"/>
      <color indexed="8"/>
      <name val="Microsoft Sans Serif"/>
      <family val="2"/>
    </font>
    <font>
      <b/>
      <sz val="8"/>
      <name val="MS Sans Serif"/>
      <family val="2"/>
    </font>
    <font>
      <b/>
      <sz val="8"/>
      <name val="MS Sans Serif"/>
    </font>
    <font>
      <sz val="11"/>
      <color theme="1"/>
      <name val="Calibri"/>
      <family val="2"/>
    </font>
    <font>
      <sz val="8"/>
      <name val="Calibri"/>
      <family val="2"/>
      <scheme val="minor"/>
    </font>
    <font>
      <i/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darkDown">
        <bgColor indexed="55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DDFC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AEAEA"/>
        <bgColor indexed="64"/>
      </patternFill>
    </fill>
    <fill>
      <patternFill patternType="gray125">
        <bgColor theme="0" tint="-4.9989318521683403E-2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5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4" fillId="0" borderId="0"/>
    <xf numFmtId="9" fontId="4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0" fontId="1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94" fillId="0" borderId="0" applyNumberFormat="0" applyFill="0" applyBorder="0" applyAlignment="0" applyProtection="0"/>
  </cellStyleXfs>
  <cellXfs count="608">
    <xf numFmtId="0" fontId="0" fillId="0" borderId="0" xfId="0"/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5" fillId="0" borderId="0" xfId="0" quotePrefix="1" applyFont="1"/>
    <xf numFmtId="1" fontId="5" fillId="0" borderId="0" xfId="0" quotePrefix="1" applyNumberFormat="1" applyFont="1"/>
    <xf numFmtId="165" fontId="0" fillId="0" borderId="24" xfId="3" applyNumberFormat="1" applyFont="1" applyBorder="1" applyProtection="1">
      <protection hidden="1"/>
    </xf>
    <xf numFmtId="165" fontId="0" fillId="0" borderId="0" xfId="3" applyNumberFormat="1" applyFont="1" applyFill="1" applyBorder="1" applyProtection="1">
      <protection hidden="1"/>
    </xf>
    <xf numFmtId="37" fontId="0" fillId="0" borderId="0" xfId="0" applyNumberFormat="1"/>
    <xf numFmtId="44" fontId="0" fillId="0" borderId="0" xfId="0" applyNumberFormat="1"/>
    <xf numFmtId="2" fontId="0" fillId="0" borderId="0" xfId="0" applyNumberFormat="1"/>
    <xf numFmtId="167" fontId="0" fillId="0" borderId="0" xfId="0" applyNumberFormat="1"/>
    <xf numFmtId="43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164" fontId="14" fillId="0" borderId="0" xfId="0" quotePrefix="1" applyNumberFormat="1" applyFont="1"/>
    <xf numFmtId="0" fontId="5" fillId="0" borderId="0" xfId="0" quotePrefix="1" applyFont="1" applyAlignment="1">
      <alignment horizontal="center"/>
    </xf>
    <xf numFmtId="0" fontId="16" fillId="0" borderId="0" xfId="0" quotePrefix="1" applyFont="1"/>
    <xf numFmtId="9" fontId="5" fillId="0" borderId="0" xfId="8" quotePrefix="1" applyFont="1" applyAlignment="1">
      <alignment horizontal="center"/>
    </xf>
    <xf numFmtId="0" fontId="5" fillId="0" borderId="0" xfId="0" quotePrefix="1" applyFont="1" applyAlignment="1">
      <alignment horizontal="left"/>
    </xf>
    <xf numFmtId="9" fontId="5" fillId="0" borderId="0" xfId="8" quotePrefix="1" applyFont="1" applyAlignment="1" applyProtection="1">
      <alignment horizontal="center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19" fillId="0" borderId="0" xfId="0" applyFont="1"/>
    <xf numFmtId="0" fontId="21" fillId="0" borderId="0" xfId="0" applyFont="1"/>
    <xf numFmtId="0" fontId="22" fillId="0" borderId="0" xfId="0" applyFont="1"/>
    <xf numFmtId="0" fontId="21" fillId="0" borderId="0" xfId="0" applyFont="1" applyAlignment="1">
      <alignment horizontal="center" wrapText="1"/>
    </xf>
    <xf numFmtId="0" fontId="10" fillId="0" borderId="0" xfId="0" applyFont="1"/>
    <xf numFmtId="0" fontId="23" fillId="0" borderId="0" xfId="0" applyFont="1"/>
    <xf numFmtId="0" fontId="23" fillId="0" borderId="0" xfId="0" applyFont="1" applyAlignment="1">
      <alignment horizontal="center"/>
    </xf>
    <xf numFmtId="0" fontId="17" fillId="0" borderId="0" xfId="0" applyFont="1"/>
    <xf numFmtId="0" fontId="26" fillId="0" borderId="0" xfId="0" applyFont="1"/>
    <xf numFmtId="0" fontId="18" fillId="0" borderId="0" xfId="0" applyFont="1" applyAlignment="1">
      <alignment horizontal="center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30" fillId="0" borderId="0" xfId="0" applyFont="1"/>
    <xf numFmtId="167" fontId="7" fillId="0" borderId="0" xfId="14" applyNumberFormat="1" applyFont="1" applyProtection="1"/>
    <xf numFmtId="0" fontId="12" fillId="0" borderId="0" xfId="0" applyFont="1"/>
    <xf numFmtId="0" fontId="21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19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alignment horizontal="right"/>
      <protection hidden="1"/>
    </xf>
    <xf numFmtId="43" fontId="0" fillId="0" borderId="0" xfId="32" applyFont="1" applyProtection="1"/>
    <xf numFmtId="7" fontId="18" fillId="10" borderId="0" xfId="0" applyNumberFormat="1" applyFont="1" applyFill="1" applyAlignment="1">
      <alignment horizontal="center" wrapText="1"/>
    </xf>
    <xf numFmtId="0" fontId="20" fillId="10" borderId="0" xfId="0" applyFont="1" applyFill="1" applyAlignment="1">
      <alignment horizontal="center" wrapText="1"/>
    </xf>
    <xf numFmtId="43" fontId="0" fillId="0" borderId="0" xfId="32" quotePrefix="1" applyFont="1" applyProtection="1"/>
    <xf numFmtId="43" fontId="1" fillId="0" borderId="0" xfId="32" applyFont="1" applyProtection="1"/>
    <xf numFmtId="1" fontId="10" fillId="0" borderId="0" xfId="0" applyNumberFormat="1" applyFont="1" applyAlignment="1">
      <alignment horizontal="center"/>
    </xf>
    <xf numFmtId="0" fontId="34" fillId="0" borderId="0" xfId="0" applyFont="1"/>
    <xf numFmtId="168" fontId="38" fillId="0" borderId="0" xfId="15" applyNumberFormat="1" applyFont="1" applyProtection="1">
      <protection hidden="1"/>
    </xf>
    <xf numFmtId="2" fontId="38" fillId="0" borderId="0" xfId="15" applyNumberFormat="1" applyFont="1" applyProtection="1">
      <protection hidden="1"/>
    </xf>
    <xf numFmtId="0" fontId="22" fillId="0" borderId="0" xfId="0" applyFont="1" applyAlignment="1">
      <alignment horizontal="center" wrapText="1"/>
    </xf>
    <xf numFmtId="165" fontId="47" fillId="0" borderId="0" xfId="0" applyNumberFormat="1" applyFont="1"/>
    <xf numFmtId="6" fontId="0" fillId="0" borderId="0" xfId="0" applyNumberFormat="1"/>
    <xf numFmtId="0" fontId="50" fillId="0" borderId="0" xfId="0" applyFont="1"/>
    <xf numFmtId="3" fontId="50" fillId="0" borderId="0" xfId="0" applyNumberFormat="1" applyFont="1"/>
    <xf numFmtId="3" fontId="50" fillId="0" borderId="0" xfId="0" applyNumberFormat="1" applyFont="1" applyAlignment="1">
      <alignment horizontal="right"/>
    </xf>
    <xf numFmtId="0" fontId="51" fillId="0" borderId="0" xfId="0" applyFont="1"/>
    <xf numFmtId="0" fontId="49" fillId="0" borderId="0" xfId="0" applyFont="1"/>
    <xf numFmtId="165" fontId="0" fillId="0" borderId="0" xfId="3" quotePrefix="1" applyNumberFormat="1" applyFont="1" applyFill="1" applyBorder="1" applyProtection="1">
      <protection hidden="1"/>
    </xf>
    <xf numFmtId="0" fontId="35" fillId="0" borderId="16" xfId="0" applyFont="1" applyBorder="1" applyAlignment="1">
      <alignment horizontal="center" wrapText="1"/>
    </xf>
    <xf numFmtId="0" fontId="35" fillId="0" borderId="12" xfId="0" applyFont="1" applyBorder="1" applyAlignment="1">
      <alignment horizontal="center" wrapText="1"/>
    </xf>
    <xf numFmtId="0" fontId="28" fillId="0" borderId="20" xfId="0" applyFont="1" applyBorder="1" applyAlignment="1">
      <alignment horizontal="center" wrapText="1"/>
    </xf>
    <xf numFmtId="0" fontId="35" fillId="0" borderId="20" xfId="0" applyFont="1" applyBorder="1" applyAlignment="1">
      <alignment horizontal="center" wrapText="1"/>
    </xf>
    <xf numFmtId="0" fontId="35" fillId="0" borderId="21" xfId="0" applyFont="1" applyBorder="1" applyAlignment="1">
      <alignment horizontal="center" wrapText="1"/>
    </xf>
    <xf numFmtId="0" fontId="35" fillId="4" borderId="22" xfId="0" applyFont="1" applyFill="1" applyBorder="1" applyAlignment="1">
      <alignment horizontal="center" wrapText="1"/>
    </xf>
    <xf numFmtId="0" fontId="35" fillId="0" borderId="22" xfId="0" applyFont="1" applyBorder="1" applyAlignment="1">
      <alignment horizontal="center" wrapText="1"/>
    </xf>
    <xf numFmtId="0" fontId="35" fillId="0" borderId="23" xfId="0" applyFont="1" applyBorder="1" applyAlignment="1">
      <alignment horizontal="center" wrapText="1"/>
    </xf>
    <xf numFmtId="0" fontId="54" fillId="0" borderId="17" xfId="0" applyFont="1" applyBorder="1" applyAlignment="1" applyProtection="1">
      <alignment horizontal="left"/>
      <protection locked="0"/>
    </xf>
    <xf numFmtId="43" fontId="54" fillId="0" borderId="15" xfId="2" applyFont="1" applyFill="1" applyBorder="1" applyProtection="1">
      <protection locked="0"/>
    </xf>
    <xf numFmtId="0" fontId="54" fillId="0" borderId="3" xfId="0" applyFont="1" applyBorder="1" applyProtection="1">
      <protection locked="0"/>
    </xf>
    <xf numFmtId="1" fontId="0" fillId="0" borderId="18" xfId="0" applyNumberFormat="1" applyBorder="1" applyProtection="1">
      <protection hidden="1"/>
    </xf>
    <xf numFmtId="1" fontId="0" fillId="0" borderId="25" xfId="0" applyNumberFormat="1" applyBorder="1" applyProtection="1">
      <protection hidden="1"/>
    </xf>
    <xf numFmtId="0" fontId="55" fillId="0" borderId="0" xfId="0" quotePrefix="1" applyFont="1"/>
    <xf numFmtId="0" fontId="55" fillId="0" borderId="0" xfId="0" applyFont="1"/>
    <xf numFmtId="0" fontId="54" fillId="0" borderId="3" xfId="0" applyFont="1" applyBorder="1" applyAlignment="1" applyProtection="1">
      <alignment horizontal="left"/>
      <protection locked="0"/>
    </xf>
    <xf numFmtId="43" fontId="54" fillId="0" borderId="3" xfId="2" applyFont="1" applyFill="1" applyBorder="1" applyAlignment="1" applyProtection="1">
      <alignment horizontal="left"/>
      <protection locked="0"/>
    </xf>
    <xf numFmtId="0" fontId="54" fillId="0" borderId="3" xfId="0" applyFont="1" applyBorder="1" applyAlignment="1" applyProtection="1">
      <alignment horizontal="right"/>
      <protection locked="0"/>
    </xf>
    <xf numFmtId="0" fontId="0" fillId="8" borderId="26" xfId="0" applyFill="1" applyBorder="1"/>
    <xf numFmtId="1" fontId="35" fillId="0" borderId="0" xfId="0" applyNumberFormat="1" applyFont="1"/>
    <xf numFmtId="0" fontId="0" fillId="8" borderId="27" xfId="0" applyFill="1" applyBorder="1"/>
    <xf numFmtId="44" fontId="55" fillId="0" borderId="0" xfId="3" applyFont="1" applyFill="1" applyBorder="1" applyProtection="1"/>
    <xf numFmtId="0" fontId="0" fillId="8" borderId="28" xfId="0" applyFill="1" applyBorder="1"/>
    <xf numFmtId="164" fontId="0" fillId="0" borderId="0" xfId="0" applyNumberFormat="1" applyAlignment="1">
      <alignment horizontal="right"/>
    </xf>
    <xf numFmtId="164" fontId="1" fillId="0" borderId="0" xfId="0" applyNumberFormat="1" applyFont="1"/>
    <xf numFmtId="0" fontId="17" fillId="0" borderId="0" xfId="0" applyFont="1" applyAlignment="1">
      <alignment horizontal="center"/>
    </xf>
    <xf numFmtId="0" fontId="13" fillId="0" borderId="0" xfId="0" applyFont="1"/>
    <xf numFmtId="0" fontId="13" fillId="0" borderId="0" xfId="0" quotePrefix="1" applyFont="1"/>
    <xf numFmtId="0" fontId="13" fillId="0" borderId="0" xfId="0" applyFont="1" applyAlignment="1">
      <alignment horizontal="left"/>
    </xf>
    <xf numFmtId="0" fontId="11" fillId="0" borderId="0" xfId="0" applyFont="1"/>
    <xf numFmtId="0" fontId="63" fillId="0" borderId="0" xfId="0" applyFont="1" applyAlignment="1">
      <alignment horizontal="center"/>
    </xf>
    <xf numFmtId="0" fontId="68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164" fontId="17" fillId="0" borderId="31" xfId="0" applyNumberFormat="1" applyFont="1" applyBorder="1" applyProtection="1">
      <protection locked="0"/>
    </xf>
    <xf numFmtId="0" fontId="1" fillId="0" borderId="0" xfId="0" quotePrefix="1" applyFont="1" applyAlignment="1">
      <alignment horizontal="left"/>
    </xf>
    <xf numFmtId="0" fontId="69" fillId="0" borderId="0" xfId="0" applyFont="1"/>
    <xf numFmtId="171" fontId="17" fillId="0" borderId="0" xfId="8" quotePrefix="1" applyNumberFormat="1" applyFont="1" applyProtection="1"/>
    <xf numFmtId="0" fontId="70" fillId="0" borderId="0" xfId="0" applyFont="1"/>
    <xf numFmtId="0" fontId="71" fillId="0" borderId="11" xfId="0" applyFont="1" applyBorder="1"/>
    <xf numFmtId="0" fontId="64" fillId="0" borderId="0" xfId="0" applyFont="1"/>
    <xf numFmtId="43" fontId="1" fillId="0" borderId="0" xfId="0" applyNumberFormat="1" applyFont="1"/>
    <xf numFmtId="0" fontId="6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49" fontId="17" fillId="0" borderId="3" xfId="0" applyNumberFormat="1" applyFont="1" applyBorder="1" applyAlignment="1" applyProtection="1">
      <alignment horizontal="right"/>
      <protection locked="0"/>
    </xf>
    <xf numFmtId="0" fontId="17" fillId="0" borderId="3" xfId="0" applyFont="1" applyBorder="1" applyAlignment="1" applyProtection="1">
      <alignment horizontal="right" wrapText="1"/>
      <protection locked="0"/>
    </xf>
    <xf numFmtId="0" fontId="17" fillId="0" borderId="3" xfId="0" applyFont="1" applyBorder="1" applyAlignment="1" applyProtection="1">
      <alignment horizontal="right"/>
      <protection locked="0"/>
    </xf>
    <xf numFmtId="0" fontId="17" fillId="0" borderId="3" xfId="0" applyFont="1" applyBorder="1" applyAlignment="1" applyProtection="1">
      <alignment horizontal="center"/>
      <protection locked="0"/>
    </xf>
    <xf numFmtId="1" fontId="17" fillId="0" borderId="3" xfId="0" applyNumberFormat="1" applyFont="1" applyBorder="1" applyAlignment="1" applyProtection="1">
      <alignment horizontal="right"/>
      <protection locked="0"/>
    </xf>
    <xf numFmtId="164" fontId="26" fillId="0" borderId="3" xfId="0" quotePrefix="1" applyNumberFormat="1" applyFont="1" applyBorder="1" applyAlignment="1" applyProtection="1">
      <alignment horizontal="right"/>
      <protection locked="0"/>
    </xf>
    <xf numFmtId="10" fontId="26" fillId="0" borderId="3" xfId="33" quotePrefix="1" applyNumberFormat="1" applyFont="1" applyFill="1" applyBorder="1" applyAlignment="1" applyProtection="1">
      <alignment horizontal="right"/>
      <protection locked="0"/>
    </xf>
    <xf numFmtId="1" fontId="17" fillId="0" borderId="3" xfId="0" applyNumberFormat="1" applyFont="1" applyBorder="1" applyProtection="1">
      <protection locked="0"/>
    </xf>
    <xf numFmtId="164" fontId="13" fillId="0" borderId="3" xfId="0" applyNumberFormat="1" applyFont="1" applyBorder="1" applyAlignment="1" applyProtection="1">
      <alignment horizontal="right"/>
      <protection locked="0"/>
    </xf>
    <xf numFmtId="42" fontId="17" fillId="0" borderId="3" xfId="34" applyNumberFormat="1" applyFont="1" applyFill="1" applyBorder="1" applyAlignment="1" applyProtection="1">
      <alignment horizontal="right"/>
      <protection locked="0"/>
    </xf>
    <xf numFmtId="42" fontId="17" fillId="0" borderId="3" xfId="34" quotePrefix="1" applyNumberFormat="1" applyFont="1" applyFill="1" applyBorder="1" applyAlignment="1" applyProtection="1">
      <alignment horizontal="right"/>
      <protection locked="0"/>
    </xf>
    <xf numFmtId="165" fontId="17" fillId="0" borderId="3" xfId="0" applyNumberFormat="1" applyFont="1" applyBorder="1" applyAlignment="1" applyProtection="1">
      <alignment horizontal="right"/>
      <protection locked="0"/>
    </xf>
    <xf numFmtId="39" fontId="17" fillId="0" borderId="3" xfId="0" applyNumberFormat="1" applyFont="1" applyBorder="1" applyAlignment="1" applyProtection="1">
      <alignment horizontal="right"/>
      <protection locked="0"/>
    </xf>
    <xf numFmtId="0" fontId="1" fillId="0" borderId="0" xfId="0" quotePrefix="1" applyFont="1"/>
    <xf numFmtId="9" fontId="1" fillId="0" borderId="0" xfId="8" quotePrefix="1" applyFont="1" applyProtection="1"/>
    <xf numFmtId="0" fontId="72" fillId="0" borderId="0" xfId="0" applyFont="1" applyAlignment="1">
      <alignment vertical="center" wrapText="1"/>
    </xf>
    <xf numFmtId="0" fontId="54" fillId="0" borderId="0" xfId="0" applyFont="1"/>
    <xf numFmtId="165" fontId="54" fillId="0" borderId="3" xfId="0" applyNumberFormat="1" applyFont="1" applyBorder="1" applyAlignment="1">
      <alignment horizontal="left"/>
    </xf>
    <xf numFmtId="44" fontId="54" fillId="0" borderId="3" xfId="0" applyNumberFormat="1" applyFont="1" applyBorder="1" applyAlignment="1">
      <alignment horizontal="left"/>
    </xf>
    <xf numFmtId="165" fontId="54" fillId="0" borderId="3" xfId="3" applyNumberFormat="1" applyFont="1" applyFill="1" applyBorder="1" applyProtection="1"/>
    <xf numFmtId="44" fontId="54" fillId="0" borderId="3" xfId="3" applyFont="1" applyFill="1" applyBorder="1" applyProtection="1"/>
    <xf numFmtId="0" fontId="45" fillId="0" borderId="0" xfId="0" applyFont="1"/>
    <xf numFmtId="165" fontId="45" fillId="0" borderId="3" xfId="3" applyNumberFormat="1" applyFont="1" applyFill="1" applyBorder="1" applyProtection="1"/>
    <xf numFmtId="44" fontId="45" fillId="0" borderId="3" xfId="0" applyNumberFormat="1" applyFont="1" applyBorder="1"/>
    <xf numFmtId="44" fontId="45" fillId="0" borderId="3" xfId="3" applyFont="1" applyFill="1" applyBorder="1" applyProtection="1"/>
    <xf numFmtId="0" fontId="35" fillId="0" borderId="0" xfId="0" applyFont="1"/>
    <xf numFmtId="165" fontId="35" fillId="0" borderId="3" xfId="3" applyNumberFormat="1" applyFont="1" applyFill="1" applyBorder="1" applyProtection="1"/>
    <xf numFmtId="44" fontId="34" fillId="0" borderId="3" xfId="3" applyFont="1" applyFill="1" applyBorder="1" applyProtection="1"/>
    <xf numFmtId="0" fontId="44" fillId="0" borderId="0" xfId="0" applyFont="1"/>
    <xf numFmtId="165" fontId="44" fillId="0" borderId="3" xfId="3" applyNumberFormat="1" applyFont="1" applyFill="1" applyBorder="1" applyProtection="1"/>
    <xf numFmtId="44" fontId="34" fillId="0" borderId="3" xfId="0" applyNumberFormat="1" applyFont="1" applyBorder="1"/>
    <xf numFmtId="0" fontId="45" fillId="0" borderId="0" xfId="0" applyFont="1" applyAlignment="1">
      <alignment wrapText="1"/>
    </xf>
    <xf numFmtId="165" fontId="34" fillId="0" borderId="3" xfId="3" applyNumberFormat="1" applyFont="1" applyFill="1" applyBorder="1" applyProtection="1"/>
    <xf numFmtId="44" fontId="35" fillId="0" borderId="3" xfId="3" applyFont="1" applyFill="1" applyBorder="1" applyProtection="1"/>
    <xf numFmtId="165" fontId="35" fillId="0" borderId="3" xfId="0" applyNumberFormat="1" applyFont="1" applyBorder="1"/>
    <xf numFmtId="0" fontId="60" fillId="0" borderId="3" xfId="0" applyFont="1" applyBorder="1" applyAlignment="1">
      <alignment wrapText="1"/>
    </xf>
    <xf numFmtId="0" fontId="60" fillId="0" borderId="3" xfId="0" applyFont="1" applyBorder="1" applyAlignment="1">
      <alignment horizontal="center"/>
    </xf>
    <xf numFmtId="0" fontId="60" fillId="0" borderId="3" xfId="0" applyFont="1" applyBorder="1" applyAlignment="1">
      <alignment horizontal="center" wrapText="1"/>
    </xf>
    <xf numFmtId="0" fontId="25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34" fillId="0" borderId="0" xfId="0" applyFont="1" applyAlignment="1">
      <alignment wrapText="1"/>
    </xf>
    <xf numFmtId="171" fontId="54" fillId="0" borderId="0" xfId="33" applyNumberFormat="1" applyFont="1" applyAlignment="1" applyProtection="1">
      <alignment horizontal="center" wrapText="1"/>
    </xf>
    <xf numFmtId="0" fontId="54" fillId="0" borderId="0" xfId="0" applyFont="1" applyAlignment="1">
      <alignment wrapText="1"/>
    </xf>
    <xf numFmtId="0" fontId="35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49" fontId="54" fillId="0" borderId="0" xfId="0" applyNumberFormat="1" applyFont="1" applyAlignment="1">
      <alignment horizontal="center"/>
    </xf>
    <xf numFmtId="44" fontId="54" fillId="0" borderId="0" xfId="34" applyFont="1" applyFill="1" applyProtection="1"/>
    <xf numFmtId="44" fontId="54" fillId="0" borderId="0" xfId="0" applyNumberFormat="1" applyFont="1"/>
    <xf numFmtId="44" fontId="35" fillId="0" borderId="0" xfId="34" applyFont="1" applyFill="1" applyProtection="1"/>
    <xf numFmtId="44" fontId="34" fillId="0" borderId="0" xfId="34" applyFont="1" applyFill="1" applyProtection="1"/>
    <xf numFmtId="44" fontId="34" fillId="0" borderId="0" xfId="0" applyNumberFormat="1" applyFont="1"/>
    <xf numFmtId="44" fontId="54" fillId="0" borderId="0" xfId="34" applyFont="1" applyFill="1" applyAlignment="1" applyProtection="1"/>
    <xf numFmtId="10" fontId="54" fillId="0" borderId="0" xfId="33" quotePrefix="1" applyNumberFormat="1" applyFont="1" applyFill="1" applyProtection="1"/>
    <xf numFmtId="44" fontId="53" fillId="0" borderId="0" xfId="34" applyFont="1" applyFill="1" applyProtection="1"/>
    <xf numFmtId="165" fontId="54" fillId="0" borderId="0" xfId="34" applyNumberFormat="1" applyFont="1" applyFill="1" applyProtection="1"/>
    <xf numFmtId="165" fontId="73" fillId="0" borderId="0" xfId="0" applyNumberFormat="1" applyFont="1"/>
    <xf numFmtId="44" fontId="54" fillId="0" borderId="0" xfId="34" applyFont="1" applyProtection="1"/>
    <xf numFmtId="165" fontId="54" fillId="0" borderId="0" xfId="34" applyNumberFormat="1" applyFont="1" applyProtection="1"/>
    <xf numFmtId="165" fontId="54" fillId="0" borderId="0" xfId="0" applyNumberFormat="1" applyFont="1"/>
    <xf numFmtId="165" fontId="54" fillId="9" borderId="0" xfId="34" applyNumberFormat="1" applyFont="1" applyFill="1" applyProtection="1"/>
    <xf numFmtId="165" fontId="34" fillId="0" borderId="0" xfId="34" applyNumberFormat="1" applyFont="1" applyProtection="1"/>
    <xf numFmtId="165" fontId="53" fillId="0" borderId="0" xfId="34" applyNumberFormat="1" applyFont="1" applyProtection="1"/>
    <xf numFmtId="44" fontId="35" fillId="0" borderId="0" xfId="34" applyFont="1" applyProtection="1"/>
    <xf numFmtId="165" fontId="35" fillId="0" borderId="0" xfId="0" applyNumberFormat="1" applyFont="1"/>
    <xf numFmtId="165" fontId="35" fillId="0" borderId="0" xfId="34" applyNumberFormat="1" applyFont="1" applyProtection="1"/>
    <xf numFmtId="165" fontId="37" fillId="0" borderId="0" xfId="34" applyNumberFormat="1" applyFont="1" applyProtection="1"/>
    <xf numFmtId="43" fontId="54" fillId="0" borderId="0" xfId="32" applyFont="1" applyProtection="1"/>
    <xf numFmtId="0" fontId="73" fillId="0" borderId="0" xfId="0" applyFont="1" applyAlignment="1">
      <alignment horizontal="center"/>
    </xf>
    <xf numFmtId="49" fontId="73" fillId="0" borderId="0" xfId="0" applyNumberFormat="1" applyFont="1" applyAlignment="1">
      <alignment horizontal="center"/>
    </xf>
    <xf numFmtId="4" fontId="54" fillId="0" borderId="0" xfId="0" applyNumberFormat="1" applyFont="1" applyAlignment="1">
      <alignment horizontal="center"/>
    </xf>
    <xf numFmtId="4" fontId="34" fillId="0" borderId="0" xfId="0" applyNumberFormat="1" applyFont="1" applyAlignment="1">
      <alignment horizontal="center"/>
    </xf>
    <xf numFmtId="4" fontId="7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1" fillId="0" borderId="0" xfId="14" applyNumberFormat="1" applyFont="1" applyProtection="1"/>
    <xf numFmtId="4" fontId="64" fillId="0" borderId="0" xfId="14" applyNumberFormat="1" applyFont="1" applyProtection="1"/>
    <xf numFmtId="2" fontId="54" fillId="0" borderId="3" xfId="2" applyNumberFormat="1" applyFont="1" applyFill="1" applyBorder="1" applyProtection="1"/>
    <xf numFmtId="2" fontId="34" fillId="0" borderId="3" xfId="2" quotePrefix="1" applyNumberFormat="1" applyFont="1" applyFill="1" applyBorder="1" applyProtection="1"/>
    <xf numFmtId="2" fontId="45" fillId="0" borderId="3" xfId="2" quotePrefix="1" applyNumberFormat="1" applyFont="1" applyFill="1" applyBorder="1" applyProtection="1"/>
    <xf numFmtId="2" fontId="35" fillId="0" borderId="3" xfId="2" applyNumberFormat="1" applyFont="1" applyFill="1" applyBorder="1" applyProtection="1"/>
    <xf numFmtId="2" fontId="44" fillId="0" borderId="3" xfId="2" applyNumberFormat="1" applyFont="1" applyFill="1" applyBorder="1" applyProtection="1"/>
    <xf numFmtId="2" fontId="45" fillId="0" borderId="3" xfId="2" applyNumberFormat="1" applyFont="1" applyFill="1" applyBorder="1" applyProtection="1"/>
    <xf numFmtId="2" fontId="54" fillId="0" borderId="3" xfId="0" applyNumberFormat="1" applyFont="1" applyBorder="1"/>
    <xf numFmtId="2" fontId="35" fillId="0" borderId="3" xfId="0" applyNumberFormat="1" applyFont="1" applyBorder="1"/>
    <xf numFmtId="43" fontId="17" fillId="4" borderId="0" xfId="0" applyNumberFormat="1" applyFont="1" applyFill="1"/>
    <xf numFmtId="171" fontId="17" fillId="0" borderId="3" xfId="33" quotePrefix="1" applyNumberFormat="1" applyFont="1" applyFill="1" applyBorder="1" applyAlignment="1" applyProtection="1">
      <alignment horizontal="right"/>
      <protection locked="0"/>
    </xf>
    <xf numFmtId="9" fontId="54" fillId="0" borderId="15" xfId="4" applyFont="1" applyFill="1" applyBorder="1" applyAlignment="1" applyProtection="1">
      <alignment horizontal="center"/>
      <protection locked="0"/>
    </xf>
    <xf numFmtId="2" fontId="54" fillId="0" borderId="3" xfId="0" applyNumberFormat="1" applyFont="1" applyBorder="1" applyProtection="1">
      <protection locked="0"/>
    </xf>
    <xf numFmtId="2" fontId="54" fillId="0" borderId="3" xfId="0" applyNumberFormat="1" applyFont="1" applyBorder="1" applyAlignment="1" applyProtection="1">
      <alignment horizontal="right"/>
      <protection locked="0"/>
    </xf>
    <xf numFmtId="1" fontId="17" fillId="6" borderId="3" xfId="1" applyNumberFormat="1" applyFont="1" applyFill="1" applyBorder="1" applyAlignment="1" applyProtection="1">
      <alignment horizontal="center"/>
      <protection locked="0"/>
    </xf>
    <xf numFmtId="0" fontId="21" fillId="0" borderId="0" xfId="1" applyFont="1" applyAlignment="1" applyProtection="1">
      <alignment horizontal="left"/>
      <protection locked="0"/>
    </xf>
    <xf numFmtId="0" fontId="21" fillId="0" borderId="0" xfId="1" applyFont="1" applyProtection="1">
      <protection locked="0"/>
    </xf>
    <xf numFmtId="0" fontId="17" fillId="0" borderId="0" xfId="14" applyNumberFormat="1" applyFont="1" applyProtection="1"/>
    <xf numFmtId="0" fontId="22" fillId="0" borderId="35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41" fillId="0" borderId="0" xfId="0" applyFont="1"/>
    <xf numFmtId="164" fontId="17" fillId="0" borderId="3" xfId="0" quotePrefix="1" applyNumberFormat="1" applyFont="1" applyBorder="1" applyAlignment="1" applyProtection="1">
      <alignment horizontal="right"/>
      <protection locked="0"/>
    </xf>
    <xf numFmtId="0" fontId="17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80" fillId="0" borderId="3" xfId="1" applyFont="1" applyBorder="1" applyAlignment="1">
      <alignment horizontal="center"/>
    </xf>
    <xf numFmtId="43" fontId="17" fillId="0" borderId="0" xfId="1" applyNumberFormat="1" applyFont="1" applyAlignment="1">
      <alignment horizontal="center"/>
    </xf>
    <xf numFmtId="43" fontId="17" fillId="0" borderId="3" xfId="14" applyFont="1" applyFill="1" applyBorder="1" applyProtection="1"/>
    <xf numFmtId="165" fontId="0" fillId="15" borderId="0" xfId="3" applyNumberFormat="1" applyFont="1" applyFill="1"/>
    <xf numFmtId="177" fontId="0" fillId="15" borderId="0" xfId="3" applyNumberFormat="1" applyFont="1" applyFill="1"/>
    <xf numFmtId="0" fontId="17" fillId="16" borderId="0" xfId="0" applyFont="1" applyFill="1"/>
    <xf numFmtId="0" fontId="17" fillId="16" borderId="3" xfId="0" applyFont="1" applyFill="1" applyBorder="1" applyAlignment="1">
      <alignment horizontal="center"/>
    </xf>
    <xf numFmtId="0" fontId="13" fillId="16" borderId="0" xfId="0" applyFont="1" applyFill="1"/>
    <xf numFmtId="0" fontId="13" fillId="16" borderId="0" xfId="0" quotePrefix="1" applyFont="1" applyFill="1"/>
    <xf numFmtId="0" fontId="26" fillId="16" borderId="0" xfId="0" applyFont="1" applyFill="1"/>
    <xf numFmtId="2" fontId="26" fillId="16" borderId="3" xfId="0" applyNumberFormat="1" applyFont="1" applyFill="1" applyBorder="1" applyAlignment="1">
      <alignment horizontal="right"/>
    </xf>
    <xf numFmtId="10" fontId="17" fillId="16" borderId="3" xfId="8" quotePrefix="1" applyNumberFormat="1" applyFont="1" applyFill="1" applyBorder="1" applyAlignment="1" applyProtection="1">
      <alignment horizontal="right"/>
    </xf>
    <xf numFmtId="2" fontId="17" fillId="16" borderId="3" xfId="0" quotePrefix="1" applyNumberFormat="1" applyFont="1" applyFill="1" applyBorder="1" applyAlignment="1">
      <alignment horizontal="right"/>
    </xf>
    <xf numFmtId="2" fontId="13" fillId="16" borderId="3" xfId="0" applyNumberFormat="1" applyFont="1" applyFill="1" applyBorder="1" applyAlignment="1">
      <alignment horizontal="right"/>
    </xf>
    <xf numFmtId="1" fontId="17" fillId="16" borderId="3" xfId="34" quotePrefix="1" applyNumberFormat="1" applyFont="1" applyFill="1" applyBorder="1" applyAlignment="1" applyProtection="1">
      <alignment horizontal="right"/>
    </xf>
    <xf numFmtId="42" fontId="10" fillId="16" borderId="3" xfId="0" applyNumberFormat="1" applyFont="1" applyFill="1" applyBorder="1"/>
    <xf numFmtId="0" fontId="17" fillId="16" borderId="0" xfId="0" applyFont="1" applyFill="1" applyAlignment="1">
      <alignment wrapText="1"/>
    </xf>
    <xf numFmtId="0" fontId="21" fillId="16" borderId="0" xfId="0" applyFont="1" applyFill="1"/>
    <xf numFmtId="0" fontId="26" fillId="16" borderId="0" xfId="0" quotePrefix="1" applyFont="1" applyFill="1"/>
    <xf numFmtId="9" fontId="17" fillId="16" borderId="32" xfId="4" applyFont="1" applyFill="1" applyBorder="1" applyAlignment="1" applyProtection="1">
      <alignment horizontal="center"/>
    </xf>
    <xf numFmtId="9" fontId="17" fillId="16" borderId="19" xfId="4" applyFont="1" applyFill="1" applyBorder="1" applyAlignment="1" applyProtection="1">
      <alignment horizontal="center"/>
    </xf>
    <xf numFmtId="171" fontId="17" fillId="16" borderId="34" xfId="4" applyNumberFormat="1" applyFont="1" applyFill="1" applyBorder="1" applyAlignment="1" applyProtection="1">
      <alignment horizontal="center"/>
    </xf>
    <xf numFmtId="9" fontId="17" fillId="16" borderId="33" xfId="4" applyFont="1" applyFill="1" applyBorder="1" applyAlignment="1" applyProtection="1">
      <alignment horizontal="center"/>
    </xf>
    <xf numFmtId="9" fontId="17" fillId="16" borderId="31" xfId="4" applyFont="1" applyFill="1" applyBorder="1" applyAlignment="1" applyProtection="1">
      <alignment horizontal="center"/>
    </xf>
    <xf numFmtId="9" fontId="17" fillId="16" borderId="16" xfId="4" applyFont="1" applyFill="1" applyBorder="1" applyAlignment="1" applyProtection="1">
      <alignment horizontal="center"/>
    </xf>
    <xf numFmtId="43" fontId="17" fillId="16" borderId="0" xfId="2" applyFont="1" applyFill="1" applyProtection="1"/>
    <xf numFmtId="171" fontId="35" fillId="7" borderId="0" xfId="0" applyNumberFormat="1" applyFont="1" applyFill="1"/>
    <xf numFmtId="0" fontId="28" fillId="16" borderId="1" xfId="0" quotePrefix="1" applyFont="1" applyFill="1" applyBorder="1" applyAlignment="1">
      <alignment horizontal="center"/>
    </xf>
    <xf numFmtId="0" fontId="35" fillId="16" borderId="2" xfId="0" applyFont="1" applyFill="1" applyBorder="1" applyAlignment="1">
      <alignment horizontal="center"/>
    </xf>
    <xf numFmtId="44" fontId="34" fillId="16" borderId="3" xfId="3" applyFont="1" applyFill="1" applyBorder="1" applyAlignment="1" applyProtection="1">
      <alignment horizontal="right"/>
    </xf>
    <xf numFmtId="0" fontId="28" fillId="16" borderId="0" xfId="0" applyFont="1" applyFill="1" applyProtection="1">
      <protection hidden="1"/>
    </xf>
    <xf numFmtId="0" fontId="54" fillId="16" borderId="14" xfId="0" applyFont="1" applyFill="1" applyBorder="1" applyAlignment="1" applyProtection="1">
      <alignment horizontal="right"/>
      <protection hidden="1"/>
    </xf>
    <xf numFmtId="0" fontId="35" fillId="16" borderId="0" xfId="0" applyFont="1" applyFill="1" applyProtection="1">
      <protection hidden="1"/>
    </xf>
    <xf numFmtId="0" fontId="35" fillId="16" borderId="9" xfId="0" applyFont="1" applyFill="1" applyBorder="1" applyProtection="1">
      <protection hidden="1"/>
    </xf>
    <xf numFmtId="0" fontId="35" fillId="16" borderId="10" xfId="0" applyFont="1" applyFill="1" applyBorder="1" applyAlignment="1" applyProtection="1">
      <alignment horizontal="right"/>
      <protection hidden="1"/>
    </xf>
    <xf numFmtId="43" fontId="35" fillId="16" borderId="3" xfId="2" applyFont="1" applyFill="1" applyBorder="1" applyAlignment="1" applyProtection="1">
      <alignment horizontal="right"/>
      <protection hidden="1"/>
    </xf>
    <xf numFmtId="44" fontId="35" fillId="16" borderId="3" xfId="3" applyFont="1" applyFill="1" applyBorder="1" applyAlignment="1" applyProtection="1">
      <alignment horizontal="right"/>
      <protection hidden="1"/>
    </xf>
    <xf numFmtId="44" fontId="44" fillId="0" borderId="3" xfId="3" applyFont="1" applyFill="1" applyBorder="1" applyProtection="1"/>
    <xf numFmtId="2" fontId="73" fillId="0" borderId="3" xfId="2" applyNumberFormat="1" applyFont="1" applyFill="1" applyBorder="1" applyProtection="1"/>
    <xf numFmtId="1" fontId="17" fillId="0" borderId="0" xfId="0" applyNumberFormat="1" applyFont="1"/>
    <xf numFmtId="3" fontId="26" fillId="0" borderId="0" xfId="14" applyNumberFormat="1" applyFont="1" applyProtection="1"/>
    <xf numFmtId="171" fontId="26" fillId="4" borderId="0" xfId="0" applyNumberFormat="1" applyFont="1" applyFill="1"/>
    <xf numFmtId="171" fontId="17" fillId="4" borderId="0" xfId="8" applyNumberFormat="1" applyFont="1" applyFill="1" applyProtection="1"/>
    <xf numFmtId="0" fontId="24" fillId="0" borderId="0" xfId="0" applyFont="1"/>
    <xf numFmtId="2" fontId="10" fillId="0" borderId="0" xfId="14" applyNumberFormat="1" applyFont="1" applyFill="1" applyProtection="1"/>
    <xf numFmtId="2" fontId="17" fillId="0" borderId="3" xfId="9" applyNumberFormat="1" applyFont="1" applyFill="1" applyBorder="1" applyAlignment="1" applyProtection="1">
      <alignment horizontal="right"/>
    </xf>
    <xf numFmtId="2" fontId="17" fillId="0" borderId="3" xfId="0" applyNumberFormat="1" applyFont="1" applyBorder="1"/>
    <xf numFmtId="2" fontId="17" fillId="15" borderId="0" xfId="0" applyNumberFormat="1" applyFont="1" applyFill="1"/>
    <xf numFmtId="0" fontId="17" fillId="0" borderId="0" xfId="0" applyFont="1" applyProtection="1">
      <protection hidden="1"/>
    </xf>
    <xf numFmtId="43" fontId="17" fillId="0" borderId="0" xfId="14" applyFont="1" applyProtection="1"/>
    <xf numFmtId="164" fontId="22" fillId="0" borderId="0" xfId="0" applyNumberFormat="1" applyFont="1"/>
    <xf numFmtId="0" fontId="10" fillId="0" borderId="5" xfId="0" quotePrefix="1" applyFont="1" applyBorder="1"/>
    <xf numFmtId="0" fontId="10" fillId="0" borderId="35" xfId="0" applyFont="1" applyBorder="1" applyAlignment="1">
      <alignment horizontal="center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wrapText="1"/>
    </xf>
    <xf numFmtId="9" fontId="17" fillId="6" borderId="16" xfId="4" applyFont="1" applyFill="1" applyBorder="1" applyAlignment="1" applyProtection="1">
      <alignment horizontal="center"/>
      <protection locked="0"/>
    </xf>
    <xf numFmtId="174" fontId="84" fillId="0" borderId="0" xfId="14" applyNumberFormat="1" applyFont="1" applyFill="1" applyBorder="1" applyProtection="1"/>
    <xf numFmtId="2" fontId="80" fillId="19" borderId="3" xfId="14" applyNumberFormat="1" applyFont="1" applyFill="1" applyBorder="1" applyAlignment="1" applyProtection="1">
      <alignment horizontal="right"/>
    </xf>
    <xf numFmtId="2" fontId="84" fillId="19" borderId="3" xfId="14" applyNumberFormat="1" applyFont="1" applyFill="1" applyBorder="1" applyProtection="1"/>
    <xf numFmtId="0" fontId="22" fillId="0" borderId="9" xfId="0" applyFont="1" applyBorder="1" applyAlignment="1">
      <alignment horizontal="left"/>
    </xf>
    <xf numFmtId="0" fontId="22" fillId="0" borderId="9" xfId="0" applyFont="1" applyBorder="1" applyAlignment="1">
      <alignment horizontal="center"/>
    </xf>
    <xf numFmtId="0" fontId="24" fillId="0" borderId="9" xfId="0" applyFont="1" applyBorder="1"/>
    <xf numFmtId="0" fontId="21" fillId="0" borderId="9" xfId="0" applyFont="1" applyBorder="1" applyAlignment="1">
      <alignment horizontal="left" vertical="top"/>
    </xf>
    <xf numFmtId="0" fontId="81" fillId="0" borderId="0" xfId="1" applyFont="1"/>
    <xf numFmtId="0" fontId="1" fillId="0" borderId="0" xfId="1"/>
    <xf numFmtId="0" fontId="17" fillId="0" borderId="0" xfId="1" applyFont="1"/>
    <xf numFmtId="0" fontId="82" fillId="0" borderId="0" xfId="1" applyFont="1"/>
    <xf numFmtId="0" fontId="83" fillId="0" borderId="0" xfId="1" applyFont="1"/>
    <xf numFmtId="0" fontId="21" fillId="0" borderId="0" xfId="1" applyFont="1"/>
    <xf numFmtId="0" fontId="17" fillId="0" borderId="20" xfId="1" applyFont="1" applyBorder="1" applyAlignment="1">
      <alignment horizontal="left"/>
    </xf>
    <xf numFmtId="0" fontId="81" fillId="0" borderId="3" xfId="1" applyFont="1" applyBorder="1" applyAlignment="1">
      <alignment horizontal="center"/>
    </xf>
    <xf numFmtId="0" fontId="17" fillId="0" borderId="3" xfId="1" applyFont="1" applyBorder="1" applyAlignment="1">
      <alignment horizontal="left"/>
    </xf>
    <xf numFmtId="43" fontId="17" fillId="19" borderId="3" xfId="13" quotePrefix="1" applyFont="1" applyFill="1" applyBorder="1" applyProtection="1"/>
    <xf numFmtId="2" fontId="17" fillId="0" borderId="0" xfId="1" applyNumberFormat="1" applyFont="1"/>
    <xf numFmtId="0" fontId="52" fillId="0" borderId="3" xfId="0" applyFont="1" applyBorder="1" applyAlignment="1">
      <alignment horizontal="left"/>
    </xf>
    <xf numFmtId="0" fontId="10" fillId="0" borderId="3" xfId="1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43" fontId="17" fillId="0" borderId="3" xfId="13" quotePrefix="1" applyFont="1" applyFill="1" applyBorder="1" applyAlignment="1" applyProtection="1">
      <alignment horizontal="center" wrapText="1"/>
    </xf>
    <xf numFmtId="0" fontId="10" fillId="10" borderId="3" xfId="1" applyFont="1" applyFill="1" applyBorder="1" applyAlignment="1">
      <alignment horizontal="left"/>
    </xf>
    <xf numFmtId="1" fontId="18" fillId="19" borderId="3" xfId="1" applyNumberFormat="1" applyFont="1" applyFill="1" applyBorder="1" applyAlignment="1">
      <alignment horizontal="center"/>
    </xf>
    <xf numFmtId="1" fontId="17" fillId="19" borderId="3" xfId="1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82" fillId="0" borderId="0" xfId="0" applyFont="1" applyAlignment="1">
      <alignment horizontal="left" vertical="center"/>
    </xf>
    <xf numFmtId="0" fontId="86" fillId="0" borderId="20" xfId="0" applyFont="1" applyBorder="1" applyAlignment="1">
      <alignment horizontal="center" vertical="center" wrapText="1"/>
    </xf>
    <xf numFmtId="0" fontId="54" fillId="20" borderId="13" xfId="0" applyFont="1" applyFill="1" applyBorder="1" applyAlignment="1" applyProtection="1">
      <alignment horizontal="left"/>
      <protection hidden="1"/>
    </xf>
    <xf numFmtId="0" fontId="54" fillId="20" borderId="0" xfId="0" applyFont="1" applyFill="1" applyAlignment="1" applyProtection="1">
      <alignment horizontal="left"/>
      <protection hidden="1"/>
    </xf>
    <xf numFmtId="0" fontId="54" fillId="20" borderId="0" xfId="0" applyFont="1" applyFill="1" applyAlignment="1" applyProtection="1">
      <alignment horizontal="center"/>
      <protection hidden="1"/>
    </xf>
    <xf numFmtId="0" fontId="35" fillId="20" borderId="13" xfId="0" applyFont="1" applyFill="1" applyBorder="1" applyAlignment="1" applyProtection="1">
      <alignment horizontal="left"/>
      <protection hidden="1"/>
    </xf>
    <xf numFmtId="0" fontId="35" fillId="20" borderId="0" xfId="0" applyFont="1" applyFill="1" applyAlignment="1" applyProtection="1">
      <alignment horizontal="left"/>
      <protection hidden="1"/>
    </xf>
    <xf numFmtId="0" fontId="35" fillId="20" borderId="0" xfId="0" applyFont="1" applyFill="1" applyAlignment="1" applyProtection="1">
      <alignment horizontal="center"/>
      <protection hidden="1"/>
    </xf>
    <xf numFmtId="0" fontId="35" fillId="20" borderId="8" xfId="0" applyFont="1" applyFill="1" applyBorder="1" applyAlignment="1" applyProtection="1">
      <alignment horizontal="left"/>
      <protection hidden="1"/>
    </xf>
    <xf numFmtId="0" fontId="35" fillId="20" borderId="9" xfId="0" applyFont="1" applyFill="1" applyBorder="1" applyAlignment="1" applyProtection="1">
      <alignment horizontal="left"/>
      <protection hidden="1"/>
    </xf>
    <xf numFmtId="0" fontId="35" fillId="20" borderId="9" xfId="0" applyFont="1" applyFill="1" applyBorder="1" applyAlignment="1" applyProtection="1">
      <alignment horizontal="center"/>
      <protection hidden="1"/>
    </xf>
    <xf numFmtId="43" fontId="10" fillId="10" borderId="0" xfId="2" applyFont="1" applyFill="1" applyProtection="1"/>
    <xf numFmtId="0" fontId="10" fillId="0" borderId="0" xfId="0" applyFont="1" applyAlignment="1">
      <alignment horizontal="center" vertical="center" wrapText="1"/>
    </xf>
    <xf numFmtId="0" fontId="10" fillId="6" borderId="3" xfId="0" applyFont="1" applyFill="1" applyBorder="1" applyAlignment="1">
      <alignment horizontal="center" wrapText="1"/>
    </xf>
    <xf numFmtId="1" fontId="35" fillId="16" borderId="19" xfId="0" applyNumberFormat="1" applyFont="1" applyFill="1" applyBorder="1" applyAlignment="1" applyProtection="1">
      <alignment horizontal="right"/>
      <protection hidden="1"/>
    </xf>
    <xf numFmtId="0" fontId="18" fillId="0" borderId="0" xfId="1" applyFont="1" applyAlignment="1">
      <alignment horizontal="left"/>
    </xf>
    <xf numFmtId="0" fontId="17" fillId="0" borderId="0" xfId="0" applyFont="1" applyAlignment="1">
      <alignment horizontal="left"/>
    </xf>
    <xf numFmtId="0" fontId="22" fillId="0" borderId="0" xfId="1" applyFont="1" applyAlignment="1">
      <alignment horizontal="center"/>
    </xf>
    <xf numFmtId="0" fontId="10" fillId="6" borderId="3" xfId="0" applyFont="1" applyFill="1" applyBorder="1" applyAlignment="1">
      <alignment horizontal="left"/>
    </xf>
    <xf numFmtId="0" fontId="10" fillId="6" borderId="3" xfId="1" applyFont="1" applyFill="1" applyBorder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1" applyAlignment="1">
      <alignment horizontal="left"/>
    </xf>
    <xf numFmtId="0" fontId="10" fillId="0" borderId="0" xfId="1" applyFont="1"/>
    <xf numFmtId="0" fontId="40" fillId="0" borderId="0" xfId="1" applyFont="1"/>
    <xf numFmtId="0" fontId="21" fillId="0" borderId="0" xfId="1" applyFont="1" applyAlignment="1">
      <alignment horizontal="left"/>
    </xf>
    <xf numFmtId="0" fontId="17" fillId="0" borderId="3" xfId="1" applyFont="1" applyBorder="1" applyAlignment="1">
      <alignment horizontal="center"/>
    </xf>
    <xf numFmtId="0" fontId="35" fillId="0" borderId="0" xfId="0" applyFont="1" applyAlignment="1">
      <alignment horizontal="left"/>
    </xf>
    <xf numFmtId="0" fontId="33" fillId="0" borderId="0" xfId="15" applyFont="1" applyProtection="1">
      <protection hidden="1"/>
    </xf>
    <xf numFmtId="0" fontId="17" fillId="0" borderId="0" xfId="15" applyProtection="1">
      <protection hidden="1"/>
    </xf>
    <xf numFmtId="0" fontId="34" fillId="0" borderId="0" xfId="0" applyFont="1" applyProtection="1">
      <protection hidden="1"/>
    </xf>
    <xf numFmtId="0" fontId="40" fillId="0" borderId="0" xfId="0" applyFont="1" applyProtection="1">
      <protection hidden="1"/>
    </xf>
    <xf numFmtId="0" fontId="36" fillId="0" borderId="0" xfId="0" applyFont="1" applyProtection="1">
      <protection hidden="1"/>
    </xf>
    <xf numFmtId="0" fontId="18" fillId="0" borderId="0" xfId="15" applyFont="1" applyAlignment="1" applyProtection="1">
      <alignment horizontal="right"/>
      <protection hidden="1"/>
    </xf>
    <xf numFmtId="0" fontId="57" fillId="2" borderId="3" xfId="35" quotePrefix="1" applyFont="1" applyFill="1" applyBorder="1" applyProtection="1">
      <protection hidden="1"/>
    </xf>
    <xf numFmtId="0" fontId="38" fillId="0" borderId="0" xfId="0" applyFont="1" applyAlignment="1" applyProtection="1">
      <alignment horizontal="right"/>
      <protection hidden="1"/>
    </xf>
    <xf numFmtId="9" fontId="18" fillId="2" borderId="3" xfId="8" applyFont="1" applyFill="1" applyBorder="1" applyAlignment="1" applyProtection="1">
      <alignment horizontal="center"/>
      <protection hidden="1"/>
    </xf>
    <xf numFmtId="0" fontId="10" fillId="0" borderId="0" xfId="15" applyFont="1" applyProtection="1">
      <protection hidden="1"/>
    </xf>
    <xf numFmtId="9" fontId="18" fillId="0" borderId="0" xfId="8" applyFont="1" applyFill="1" applyBorder="1" applyAlignment="1" applyProtection="1">
      <alignment horizontal="center"/>
      <protection hidden="1"/>
    </xf>
    <xf numFmtId="0" fontId="34" fillId="0" borderId="0" xfId="15" applyFont="1" applyProtection="1">
      <protection hidden="1"/>
    </xf>
    <xf numFmtId="0" fontId="48" fillId="0" borderId="0" xfId="15" applyFont="1" applyProtection="1">
      <protection hidden="1"/>
    </xf>
    <xf numFmtId="9" fontId="38" fillId="0" borderId="0" xfId="8" applyFont="1" applyFill="1" applyBorder="1" applyAlignment="1" applyProtection="1">
      <alignment horizontal="center"/>
      <protection hidden="1"/>
    </xf>
    <xf numFmtId="0" fontId="39" fillId="0" borderId="0" xfId="15" applyFont="1" applyAlignment="1" applyProtection="1">
      <alignment horizontal="left"/>
      <protection hidden="1"/>
    </xf>
    <xf numFmtId="9" fontId="21" fillId="0" borderId="0" xfId="8" applyFont="1" applyFill="1" applyBorder="1" applyAlignment="1" applyProtection="1">
      <alignment horizontal="left"/>
      <protection hidden="1"/>
    </xf>
    <xf numFmtId="0" fontId="17" fillId="0" borderId="0" xfId="15" quotePrefix="1" applyProtection="1">
      <protection hidden="1"/>
    </xf>
    <xf numFmtId="0" fontId="42" fillId="0" borderId="0" xfId="0" applyFont="1" applyProtection="1">
      <protection hidden="1"/>
    </xf>
    <xf numFmtId="168" fontId="38" fillId="0" borderId="0" xfId="8" applyNumberFormat="1" applyFont="1" applyFill="1" applyBorder="1" applyAlignment="1" applyProtection="1">
      <alignment horizontal="center"/>
      <protection hidden="1"/>
    </xf>
    <xf numFmtId="168" fontId="42" fillId="0" borderId="0" xfId="0" applyNumberFormat="1" applyFont="1" applyProtection="1">
      <protection hidden="1"/>
    </xf>
    <xf numFmtId="168" fontId="17" fillId="0" borderId="0" xfId="15" applyNumberFormat="1" applyProtection="1">
      <protection hidden="1"/>
    </xf>
    <xf numFmtId="0" fontId="34" fillId="2" borderId="3" xfId="15" applyFont="1" applyFill="1" applyBorder="1" applyAlignment="1" applyProtection="1">
      <alignment horizontal="right"/>
      <protection hidden="1"/>
    </xf>
    <xf numFmtId="0" fontId="35" fillId="2" borderId="3" xfId="15" applyFont="1" applyFill="1" applyBorder="1" applyAlignment="1" applyProtection="1">
      <alignment horizontal="right"/>
      <protection hidden="1"/>
    </xf>
    <xf numFmtId="10" fontId="18" fillId="2" borderId="3" xfId="8" applyNumberFormat="1" applyFont="1" applyFill="1" applyBorder="1" applyAlignment="1" applyProtection="1">
      <alignment horizontal="center"/>
      <protection hidden="1"/>
    </xf>
    <xf numFmtId="0" fontId="32" fillId="0" borderId="0" xfId="0" applyFont="1" applyProtection="1">
      <protection hidden="1"/>
    </xf>
    <xf numFmtId="7" fontId="38" fillId="0" borderId="0" xfId="0" applyNumberFormat="1" applyFont="1" applyProtection="1">
      <protection hidden="1"/>
    </xf>
    <xf numFmtId="0" fontId="60" fillId="0" borderId="3" xfId="0" applyFont="1" applyBorder="1" applyProtection="1">
      <protection hidden="1"/>
    </xf>
    <xf numFmtId="7" fontId="35" fillId="0" borderId="3" xfId="0" applyNumberFormat="1" applyFont="1" applyBorder="1" applyAlignment="1" applyProtection="1">
      <alignment horizontal="center" wrapText="1"/>
      <protection hidden="1"/>
    </xf>
    <xf numFmtId="0" fontId="35" fillId="0" borderId="3" xfId="0" applyFont="1" applyBorder="1" applyAlignment="1" applyProtection="1">
      <alignment horizontal="center" wrapText="1"/>
      <protection hidden="1"/>
    </xf>
    <xf numFmtId="0" fontId="35" fillId="0" borderId="3" xfId="0" applyFont="1" applyBorder="1" applyAlignment="1" applyProtection="1">
      <alignment horizontal="center"/>
      <protection hidden="1"/>
    </xf>
    <xf numFmtId="0" fontId="61" fillId="0" borderId="3" xfId="0" applyFont="1" applyBorder="1" applyProtection="1">
      <protection hidden="1"/>
    </xf>
    <xf numFmtId="0" fontId="62" fillId="0" borderId="0" xfId="0" applyFont="1" applyProtection="1">
      <protection hidden="1"/>
    </xf>
    <xf numFmtId="0" fontId="8" fillId="0" borderId="0" xfId="0" applyFont="1" applyProtection="1">
      <protection hidden="1"/>
    </xf>
    <xf numFmtId="7" fontId="21" fillId="0" borderId="0" xfId="0" applyNumberFormat="1" applyFont="1" applyProtection="1">
      <protection hidden="1"/>
    </xf>
    <xf numFmtId="0" fontId="34" fillId="0" borderId="3" xfId="0" quotePrefix="1" applyFont="1" applyBorder="1" applyProtection="1">
      <protection hidden="1"/>
    </xf>
    <xf numFmtId="0" fontId="35" fillId="16" borderId="3" xfId="0" quotePrefix="1" applyFont="1" applyFill="1" applyBorder="1" applyAlignment="1" applyProtection="1">
      <alignment horizontal="center"/>
      <protection hidden="1"/>
    </xf>
    <xf numFmtId="0" fontId="35" fillId="16" borderId="3" xfId="0" applyFont="1" applyFill="1" applyBorder="1" applyAlignment="1" applyProtection="1">
      <alignment horizontal="center"/>
      <protection hidden="1"/>
    </xf>
    <xf numFmtId="0" fontId="21" fillId="0" borderId="3" xfId="0" applyFont="1" applyBorder="1" applyProtection="1">
      <protection hidden="1"/>
    </xf>
    <xf numFmtId="7" fontId="21" fillId="0" borderId="3" xfId="0" applyNumberFormat="1" applyFont="1" applyBorder="1" applyAlignment="1" applyProtection="1">
      <alignment horizontal="center"/>
      <protection hidden="1"/>
    </xf>
    <xf numFmtId="168" fontId="21" fillId="16" borderId="3" xfId="0" applyNumberFormat="1" applyFont="1" applyFill="1" applyBorder="1" applyAlignment="1" applyProtection="1">
      <alignment horizontal="center"/>
      <protection hidden="1"/>
    </xf>
    <xf numFmtId="7" fontId="21" fillId="16" borderId="3" xfId="0" applyNumberFormat="1" applyFont="1" applyFill="1" applyBorder="1" applyAlignment="1" applyProtection="1">
      <alignment horizontal="center"/>
      <protection hidden="1"/>
    </xf>
    <xf numFmtId="170" fontId="5" fillId="0" borderId="0" xfId="0" applyNumberFormat="1" applyFont="1" applyProtection="1">
      <protection hidden="1"/>
    </xf>
    <xf numFmtId="169" fontId="21" fillId="0" borderId="3" xfId="0" applyNumberFormat="1" applyFont="1" applyBorder="1" applyAlignment="1" applyProtection="1">
      <alignment horizontal="center"/>
      <protection hidden="1"/>
    </xf>
    <xf numFmtId="7" fontId="22" fillId="3" borderId="0" xfId="0" applyNumberFormat="1" applyFont="1" applyFill="1" applyAlignment="1" applyProtection="1">
      <alignment horizontal="center"/>
      <protection hidden="1"/>
    </xf>
    <xf numFmtId="0" fontId="21" fillId="0" borderId="3" xfId="0" quotePrefix="1" applyFont="1" applyBorder="1" applyProtection="1">
      <protection hidden="1"/>
    </xf>
    <xf numFmtId="170" fontId="21" fillId="0" borderId="20" xfId="0" applyNumberFormat="1" applyFont="1" applyBorder="1" applyAlignment="1" applyProtection="1">
      <alignment horizontal="center"/>
      <protection hidden="1"/>
    </xf>
    <xf numFmtId="170" fontId="21" fillId="16" borderId="20" xfId="0" quotePrefix="1" applyNumberFormat="1" applyFont="1" applyFill="1" applyBorder="1" applyAlignment="1" applyProtection="1">
      <alignment horizontal="center"/>
      <protection hidden="1"/>
    </xf>
    <xf numFmtId="168" fontId="5" fillId="0" borderId="0" xfId="0" applyNumberFormat="1" applyFont="1" applyProtection="1">
      <protection hidden="1"/>
    </xf>
    <xf numFmtId="168" fontId="21" fillId="16" borderId="3" xfId="32" applyNumberFormat="1" applyFont="1" applyFill="1" applyBorder="1" applyAlignment="1" applyProtection="1">
      <alignment horizontal="center"/>
      <protection hidden="1"/>
    </xf>
    <xf numFmtId="170" fontId="21" fillId="0" borderId="3" xfId="32" applyNumberFormat="1" applyFont="1" applyFill="1" applyBorder="1" applyAlignment="1" applyProtection="1">
      <alignment horizontal="center"/>
      <protection hidden="1"/>
    </xf>
    <xf numFmtId="170" fontId="21" fillId="0" borderId="3" xfId="0" quotePrefix="1" applyNumberFormat="1" applyFont="1" applyBorder="1" applyAlignment="1" applyProtection="1">
      <alignment horizontal="center"/>
      <protection hidden="1"/>
    </xf>
    <xf numFmtId="168" fontId="21" fillId="2" borderId="3" xfId="32" applyNumberFormat="1" applyFont="1" applyFill="1" applyBorder="1" applyAlignment="1" applyProtection="1">
      <alignment horizontal="center"/>
      <protection hidden="1"/>
    </xf>
    <xf numFmtId="170" fontId="21" fillId="16" borderId="3" xfId="0" applyNumberFormat="1" applyFont="1" applyFill="1" applyBorder="1" applyAlignment="1" applyProtection="1">
      <alignment horizontal="center"/>
      <protection hidden="1"/>
    </xf>
    <xf numFmtId="0" fontId="34" fillId="0" borderId="3" xfId="0" applyFont="1" applyBorder="1" applyProtection="1">
      <protection hidden="1"/>
    </xf>
    <xf numFmtId="169" fontId="35" fillId="0" borderId="3" xfId="0" applyNumberFormat="1" applyFont="1" applyBorder="1" applyAlignment="1" applyProtection="1">
      <alignment horizontal="center"/>
      <protection hidden="1"/>
    </xf>
    <xf numFmtId="168" fontId="35" fillId="16" borderId="3" xfId="0" applyNumberFormat="1" applyFont="1" applyFill="1" applyBorder="1" applyAlignment="1" applyProtection="1">
      <alignment horizontal="center"/>
      <protection hidden="1"/>
    </xf>
    <xf numFmtId="7" fontId="34" fillId="16" borderId="3" xfId="0" applyNumberFormat="1" applyFont="1" applyFill="1" applyBorder="1" applyAlignment="1" applyProtection="1">
      <alignment horizontal="center"/>
      <protection hidden="1"/>
    </xf>
    <xf numFmtId="0" fontId="35" fillId="0" borderId="3" xfId="0" applyFont="1" applyBorder="1" applyProtection="1">
      <protection hidden="1"/>
    </xf>
    <xf numFmtId="7" fontId="34" fillId="0" borderId="3" xfId="0" applyNumberFormat="1" applyFont="1" applyBorder="1" applyAlignment="1" applyProtection="1">
      <alignment horizontal="center"/>
      <protection hidden="1"/>
    </xf>
    <xf numFmtId="168" fontId="34" fillId="16" borderId="3" xfId="0" applyNumberFormat="1" applyFont="1" applyFill="1" applyBorder="1" applyAlignment="1" applyProtection="1">
      <alignment horizontal="center"/>
      <protection hidden="1"/>
    </xf>
    <xf numFmtId="168" fontId="34" fillId="19" borderId="3" xfId="0" applyNumberFormat="1" applyFont="1" applyFill="1" applyBorder="1" applyAlignment="1" applyProtection="1">
      <alignment horizontal="center"/>
      <protection hidden="1"/>
    </xf>
    <xf numFmtId="8" fontId="34" fillId="0" borderId="3" xfId="0" applyNumberFormat="1" applyFont="1" applyBorder="1" applyAlignment="1" applyProtection="1">
      <alignment horizontal="center"/>
      <protection hidden="1"/>
    </xf>
    <xf numFmtId="170" fontId="3" fillId="0" borderId="0" xfId="34" applyNumberFormat="1" applyFont="1" applyFill="1" applyBorder="1" applyProtection="1">
      <protection hidden="1"/>
    </xf>
    <xf numFmtId="165" fontId="3" fillId="0" borderId="0" xfId="34" applyNumberFormat="1" applyFont="1" applyFill="1" applyBorder="1" applyProtection="1">
      <protection hidden="1"/>
    </xf>
    <xf numFmtId="9" fontId="3" fillId="0" borderId="0" xfId="33" applyFont="1" applyFill="1" applyBorder="1" applyProtection="1">
      <protection hidden="1"/>
    </xf>
    <xf numFmtId="7" fontId="5" fillId="0" borderId="0" xfId="0" applyNumberFormat="1" applyFont="1" applyProtection="1">
      <protection hidden="1"/>
    </xf>
    <xf numFmtId="0" fontId="58" fillId="0" borderId="0" xfId="0" applyFont="1" applyProtection="1">
      <protection hidden="1"/>
    </xf>
    <xf numFmtId="164" fontId="7" fillId="0" borderId="0" xfId="0" applyNumberFormat="1" applyFont="1" applyProtection="1">
      <protection hidden="1"/>
    </xf>
    <xf numFmtId="0" fontId="7" fillId="0" borderId="0" xfId="0" applyFont="1" applyAlignment="1" applyProtection="1">
      <alignment horizontal="left"/>
      <protection hidden="1"/>
    </xf>
    <xf numFmtId="168" fontId="7" fillId="0" borderId="0" xfId="0" applyNumberFormat="1" applyFont="1" applyProtection="1">
      <protection hidden="1"/>
    </xf>
    <xf numFmtId="0" fontId="30" fillId="0" borderId="0" xfId="0" applyFont="1" applyProtection="1">
      <protection hidden="1"/>
    </xf>
    <xf numFmtId="9" fontId="23" fillId="16" borderId="3" xfId="0" quotePrefix="1" applyNumberFormat="1" applyFont="1" applyFill="1" applyBorder="1" applyAlignment="1" applyProtection="1">
      <alignment horizontal="center"/>
      <protection hidden="1"/>
    </xf>
    <xf numFmtId="168" fontId="23" fillId="16" borderId="3" xfId="0" quotePrefix="1" applyNumberFormat="1" applyFont="1" applyFill="1" applyBorder="1" applyAlignment="1" applyProtection="1">
      <alignment horizontal="center"/>
      <protection hidden="1"/>
    </xf>
    <xf numFmtId="171" fontId="17" fillId="16" borderId="7" xfId="33" applyNumberFormat="1" applyFont="1" applyFill="1" applyBorder="1" applyAlignment="1" applyProtection="1">
      <alignment horizontal="center"/>
      <protection hidden="1"/>
    </xf>
    <xf numFmtId="168" fontId="76" fillId="0" borderId="11" xfId="0" quotePrefix="1" applyNumberFormat="1" applyFont="1" applyBorder="1" applyAlignment="1" applyProtection="1">
      <alignment horizontal="center"/>
      <protection hidden="1"/>
    </xf>
    <xf numFmtId="168" fontId="76" fillId="0" borderId="0" xfId="0" quotePrefix="1" applyNumberFormat="1" applyFont="1" applyAlignment="1" applyProtection="1">
      <alignment horizontal="center"/>
      <protection hidden="1"/>
    </xf>
    <xf numFmtId="168" fontId="17" fillId="16" borderId="7" xfId="33" applyNumberFormat="1" applyFont="1" applyFill="1" applyBorder="1" applyAlignment="1" applyProtection="1">
      <alignment horizontal="center"/>
      <protection hidden="1"/>
    </xf>
    <xf numFmtId="9" fontId="76" fillId="0" borderId="11" xfId="0" quotePrefix="1" applyNumberFormat="1" applyFont="1" applyBorder="1" applyAlignment="1" applyProtection="1">
      <alignment horizontal="center"/>
      <protection hidden="1"/>
    </xf>
    <xf numFmtId="9" fontId="76" fillId="0" borderId="0" xfId="0" quotePrefix="1" applyNumberFormat="1" applyFont="1" applyAlignment="1" applyProtection="1">
      <alignment horizontal="center"/>
      <protection hidden="1"/>
    </xf>
    <xf numFmtId="10" fontId="17" fillId="0" borderId="0" xfId="33" applyNumberFormat="1" applyFont="1" applyFill="1" applyBorder="1" applyAlignment="1" applyProtection="1">
      <alignment horizontal="center"/>
      <protection hidden="1"/>
    </xf>
    <xf numFmtId="171" fontId="17" fillId="0" borderId="0" xfId="33" applyNumberFormat="1" applyFont="1" applyFill="1" applyBorder="1" applyProtection="1">
      <protection hidden="1"/>
    </xf>
    <xf numFmtId="10" fontId="10" fillId="0" borderId="3" xfId="33" applyNumberFormat="1" applyFont="1" applyFill="1" applyBorder="1" applyAlignment="1" applyProtection="1">
      <alignment horizontal="center" vertical="center"/>
      <protection hidden="1"/>
    </xf>
    <xf numFmtId="165" fontId="10" fillId="0" borderId="0" xfId="34" applyNumberFormat="1" applyFont="1" applyFill="1" applyBorder="1" applyProtection="1">
      <protection hidden="1"/>
    </xf>
    <xf numFmtId="9" fontId="17" fillId="0" borderId="0" xfId="33" applyFont="1" applyFill="1" applyBorder="1" applyAlignment="1" applyProtection="1">
      <alignment horizontal="center"/>
      <protection hidden="1"/>
    </xf>
    <xf numFmtId="9" fontId="1" fillId="0" borderId="0" xfId="0" applyNumberFormat="1" applyFont="1" applyProtection="1">
      <protection hidden="1"/>
    </xf>
    <xf numFmtId="0" fontId="63" fillId="0" borderId="0" xfId="0" applyFont="1" applyAlignment="1" applyProtection="1">
      <alignment wrapText="1"/>
      <protection hidden="1"/>
    </xf>
    <xf numFmtId="0" fontId="63" fillId="0" borderId="0" xfId="0" applyFont="1" applyAlignment="1" applyProtection="1">
      <alignment horizont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88" fillId="0" borderId="0" xfId="0" applyFont="1" applyAlignment="1" applyProtection="1">
      <alignment wrapText="1"/>
      <protection hidden="1"/>
    </xf>
    <xf numFmtId="0" fontId="6" fillId="0" borderId="0" xfId="0" applyFont="1" applyAlignment="1" applyProtection="1">
      <alignment horizontal="right"/>
      <protection hidden="1"/>
    </xf>
    <xf numFmtId="172" fontId="1" fillId="0" borderId="0" xfId="0" applyNumberFormat="1" applyFont="1" applyProtection="1">
      <protection hidden="1"/>
    </xf>
    <xf numFmtId="0" fontId="80" fillId="0" borderId="0" xfId="0" quotePrefix="1" applyFont="1" applyProtection="1">
      <protection hidden="1"/>
    </xf>
    <xf numFmtId="170" fontId="1" fillId="0" borderId="0" xfId="0" applyNumberFormat="1" applyFont="1" applyProtection="1">
      <protection hidden="1"/>
    </xf>
    <xf numFmtId="6" fontId="1" fillId="0" borderId="0" xfId="0" applyNumberFormat="1" applyFont="1" applyProtection="1">
      <protection hidden="1"/>
    </xf>
    <xf numFmtId="170" fontId="1" fillId="0" borderId="0" xfId="32" applyNumberFormat="1" applyFont="1" applyFill="1" applyBorder="1" applyProtection="1">
      <protection hidden="1"/>
    </xf>
    <xf numFmtId="5" fontId="1" fillId="0" borderId="0" xfId="0" applyNumberFormat="1" applyFont="1" applyProtection="1">
      <protection hidden="1"/>
    </xf>
    <xf numFmtId="164" fontId="1" fillId="0" borderId="0" xfId="0" applyNumberFormat="1" applyFont="1" applyProtection="1">
      <protection hidden="1"/>
    </xf>
    <xf numFmtId="172" fontId="1" fillId="0" borderId="0" xfId="0" quotePrefix="1" applyNumberFormat="1" applyFont="1" applyProtection="1">
      <protection hidden="1"/>
    </xf>
    <xf numFmtId="44" fontId="1" fillId="0" borderId="0" xfId="34" applyFont="1" applyFill="1" applyBorder="1" applyProtection="1">
      <protection hidden="1"/>
    </xf>
    <xf numFmtId="164" fontId="1" fillId="0" borderId="0" xfId="34" applyNumberFormat="1" applyFont="1" applyFill="1" applyBorder="1" applyProtection="1">
      <protection hidden="1"/>
    </xf>
    <xf numFmtId="173" fontId="1" fillId="0" borderId="0" xfId="0" applyNumberFormat="1" applyFont="1" applyProtection="1">
      <protection hidden="1"/>
    </xf>
    <xf numFmtId="172" fontId="1" fillId="0" borderId="22" xfId="0" applyNumberFormat="1" applyFont="1" applyBorder="1" applyProtection="1">
      <protection hidden="1"/>
    </xf>
    <xf numFmtId="170" fontId="1" fillId="0" borderId="22" xfId="0" applyNumberFormat="1" applyFont="1" applyBorder="1" applyProtection="1">
      <protection hidden="1"/>
    </xf>
    <xf numFmtId="6" fontId="1" fillId="0" borderId="22" xfId="0" applyNumberFormat="1" applyFont="1" applyBorder="1" applyProtection="1">
      <protection hidden="1"/>
    </xf>
    <xf numFmtId="170" fontId="1" fillId="0" borderId="22" xfId="32" applyNumberFormat="1" applyFont="1" applyFill="1" applyBorder="1" applyProtection="1">
      <protection hidden="1"/>
    </xf>
    <xf numFmtId="164" fontId="1" fillId="0" borderId="22" xfId="0" applyNumberFormat="1" applyFont="1" applyBorder="1" applyProtection="1">
      <protection hidden="1"/>
    </xf>
    <xf numFmtId="175" fontId="65" fillId="11" borderId="0" xfId="0" applyNumberFormat="1" applyFont="1" applyFill="1" applyProtection="1">
      <protection hidden="1"/>
    </xf>
    <xf numFmtId="6" fontId="65" fillId="11" borderId="0" xfId="0" applyNumberFormat="1" applyFont="1" applyFill="1" applyProtection="1">
      <protection hidden="1"/>
    </xf>
    <xf numFmtId="4" fontId="65" fillId="11" borderId="0" xfId="0" applyNumberFormat="1" applyFont="1" applyFill="1" applyProtection="1">
      <protection hidden="1"/>
    </xf>
    <xf numFmtId="170" fontId="1" fillId="0" borderId="0" xfId="0" applyNumberFormat="1" applyFont="1" applyAlignment="1" applyProtection="1">
      <alignment horizontal="right"/>
      <protection hidden="1"/>
    </xf>
    <xf numFmtId="166" fontId="65" fillId="11" borderId="0" xfId="0" applyNumberFormat="1" applyFont="1" applyFill="1" applyProtection="1">
      <protection hidden="1"/>
    </xf>
    <xf numFmtId="6" fontId="65" fillId="0" borderId="0" xfId="0" applyNumberFormat="1" applyFont="1" applyProtection="1">
      <protection hidden="1"/>
    </xf>
    <xf numFmtId="169" fontId="65" fillId="11" borderId="0" xfId="9" applyNumberFormat="1" applyFont="1" applyFill="1" applyProtection="1">
      <protection hidden="1"/>
    </xf>
    <xf numFmtId="169" fontId="65" fillId="11" borderId="0" xfId="0" applyNumberFormat="1" applyFont="1" applyFill="1" applyProtection="1">
      <protection hidden="1"/>
    </xf>
    <xf numFmtId="8" fontId="74" fillId="0" borderId="0" xfId="0" applyNumberFormat="1" applyFont="1" applyProtection="1">
      <protection hidden="1"/>
    </xf>
    <xf numFmtId="0" fontId="66" fillId="0" borderId="0" xfId="0" applyFont="1" applyProtection="1">
      <protection hidden="1"/>
    </xf>
    <xf numFmtId="170" fontId="1" fillId="17" borderId="0" xfId="0" applyNumberFormat="1" applyFont="1" applyFill="1" applyProtection="1">
      <protection hidden="1"/>
    </xf>
    <xf numFmtId="169" fontId="65" fillId="17" borderId="0" xfId="9" applyNumberFormat="1" applyFont="1" applyFill="1" applyProtection="1">
      <protection hidden="1"/>
    </xf>
    <xf numFmtId="0" fontId="1" fillId="18" borderId="0" xfId="0" applyFont="1" applyFill="1" applyProtection="1">
      <protection hidden="1"/>
    </xf>
    <xf numFmtId="169" fontId="65" fillId="18" borderId="0" xfId="0" applyNumberFormat="1" applyFont="1" applyFill="1" applyProtection="1">
      <protection hidden="1"/>
    </xf>
    <xf numFmtId="169" fontId="1" fillId="0" borderId="0" xfId="0" applyNumberFormat="1" applyFont="1" applyProtection="1">
      <protection hidden="1"/>
    </xf>
    <xf numFmtId="0" fontId="67" fillId="0" borderId="0" xfId="0" applyFont="1" applyProtection="1">
      <protection hidden="1"/>
    </xf>
    <xf numFmtId="0" fontId="65" fillId="0" borderId="0" xfId="0" applyFont="1" applyAlignment="1" applyProtection="1">
      <alignment wrapText="1"/>
      <protection hidden="1"/>
    </xf>
    <xf numFmtId="0" fontId="65" fillId="0" borderId="0" xfId="0" applyFont="1" applyAlignment="1" applyProtection="1">
      <alignment horizontal="center" wrapText="1"/>
      <protection hidden="1"/>
    </xf>
    <xf numFmtId="0" fontId="89" fillId="0" borderId="0" xfId="0" applyFont="1" applyAlignment="1" applyProtection="1">
      <alignment wrapText="1"/>
      <protection hidden="1"/>
    </xf>
    <xf numFmtId="0" fontId="79" fillId="0" borderId="0" xfId="0" applyFont="1" applyAlignment="1" applyProtection="1">
      <alignment wrapText="1"/>
      <protection hidden="1"/>
    </xf>
    <xf numFmtId="172" fontId="67" fillId="0" borderId="0" xfId="0" applyNumberFormat="1" applyFont="1" applyProtection="1">
      <protection hidden="1"/>
    </xf>
    <xf numFmtId="170" fontId="67" fillId="0" borderId="0" xfId="0" applyNumberFormat="1" applyFont="1" applyProtection="1">
      <protection hidden="1"/>
    </xf>
    <xf numFmtId="6" fontId="67" fillId="0" borderId="0" xfId="0" applyNumberFormat="1" applyFont="1" applyProtection="1">
      <protection hidden="1"/>
    </xf>
    <xf numFmtId="5" fontId="67" fillId="0" borderId="0" xfId="0" applyNumberFormat="1" applyFont="1" applyProtection="1">
      <protection hidden="1"/>
    </xf>
    <xf numFmtId="172" fontId="67" fillId="0" borderId="22" xfId="0" applyNumberFormat="1" applyFont="1" applyBorder="1" applyProtection="1">
      <protection hidden="1"/>
    </xf>
    <xf numFmtId="0" fontId="80" fillId="0" borderId="22" xfId="0" quotePrefix="1" applyFont="1" applyBorder="1" applyProtection="1">
      <protection hidden="1"/>
    </xf>
    <xf numFmtId="170" fontId="67" fillId="0" borderId="22" xfId="0" applyNumberFormat="1" applyFont="1" applyBorder="1" applyProtection="1">
      <protection hidden="1"/>
    </xf>
    <xf numFmtId="6" fontId="67" fillId="0" borderId="22" xfId="0" applyNumberFormat="1" applyFont="1" applyBorder="1" applyProtection="1">
      <protection hidden="1"/>
    </xf>
    <xf numFmtId="5" fontId="67" fillId="0" borderId="22" xfId="0" applyNumberFormat="1" applyFont="1" applyBorder="1" applyProtection="1">
      <protection hidden="1"/>
    </xf>
    <xf numFmtId="176" fontId="65" fillId="11" borderId="0" xfId="0" applyNumberFormat="1" applyFont="1" applyFill="1" applyProtection="1">
      <protection hidden="1"/>
    </xf>
    <xf numFmtId="0" fontId="65" fillId="0" borderId="0" xfId="0" applyFont="1" applyAlignment="1" applyProtection="1">
      <alignment horizontal="right"/>
      <protection hidden="1"/>
    </xf>
    <xf numFmtId="8" fontId="75" fillId="0" borderId="0" xfId="0" applyNumberFormat="1" applyFont="1" applyProtection="1">
      <protection hidden="1"/>
    </xf>
    <xf numFmtId="8" fontId="65" fillId="11" borderId="0" xfId="0" applyNumberFormat="1" applyFont="1" applyFill="1" applyProtection="1">
      <protection hidden="1"/>
    </xf>
    <xf numFmtId="169" fontId="67" fillId="0" borderId="0" xfId="0" applyNumberFormat="1" applyFont="1" applyProtection="1">
      <protection hidden="1"/>
    </xf>
    <xf numFmtId="2" fontId="46" fillId="0" borderId="0" xfId="0" applyNumberFormat="1" applyFont="1" applyProtection="1">
      <protection hidden="1"/>
    </xf>
    <xf numFmtId="0" fontId="54" fillId="0" borderId="0" xfId="0" applyFont="1" applyProtection="1">
      <protection hidden="1"/>
    </xf>
    <xf numFmtId="0" fontId="0" fillId="0" borderId="0" xfId="0" applyProtection="1">
      <protection hidden="1"/>
    </xf>
    <xf numFmtId="0" fontId="35" fillId="0" borderId="0" xfId="0" applyFont="1" applyProtection="1">
      <protection hidden="1"/>
    </xf>
    <xf numFmtId="0" fontId="35" fillId="0" borderId="0" xfId="0" applyFont="1" applyAlignment="1" applyProtection="1">
      <alignment horizontal="center"/>
      <protection hidden="1"/>
    </xf>
    <xf numFmtId="0" fontId="73" fillId="0" borderId="0" xfId="0" applyFont="1" applyAlignment="1" applyProtection="1">
      <alignment horizontal="center" vertical="top"/>
      <protection hidden="1"/>
    </xf>
    <xf numFmtId="2" fontId="54" fillId="0" borderId="0" xfId="0" applyNumberFormat="1" applyFont="1" applyProtection="1">
      <protection hidden="1"/>
    </xf>
    <xf numFmtId="2" fontId="0" fillId="0" borderId="0" xfId="0" applyNumberFormat="1" applyProtection="1">
      <protection hidden="1"/>
    </xf>
    <xf numFmtId="4" fontId="35" fillId="0" borderId="0" xfId="0" applyNumberFormat="1" applyFont="1" applyAlignment="1" applyProtection="1">
      <alignment horizontal="right"/>
      <protection hidden="1"/>
    </xf>
    <xf numFmtId="4" fontId="35" fillId="6" borderId="0" xfId="0" applyNumberFormat="1" applyFont="1" applyFill="1" applyAlignment="1" applyProtection="1">
      <alignment horizontal="right"/>
      <protection hidden="1"/>
    </xf>
    <xf numFmtId="43" fontId="54" fillId="0" borderId="0" xfId="0" applyNumberFormat="1" applyFont="1" applyProtection="1">
      <protection hidden="1"/>
    </xf>
    <xf numFmtId="44" fontId="35" fillId="0" borderId="0" xfId="34" applyFont="1" applyFill="1" applyAlignment="1" applyProtection="1">
      <alignment horizontal="right"/>
      <protection hidden="1"/>
    </xf>
    <xf numFmtId="44" fontId="35" fillId="0" borderId="0" xfId="34" applyFont="1" applyFill="1" applyBorder="1" applyAlignment="1" applyProtection="1">
      <alignment horizontal="right"/>
      <protection hidden="1"/>
    </xf>
    <xf numFmtId="0" fontId="34" fillId="0" borderId="0" xfId="0" applyFont="1" applyAlignment="1" applyProtection="1">
      <alignment horizontal="right" vertical="center" wrapText="1"/>
      <protection hidden="1"/>
    </xf>
    <xf numFmtId="44" fontId="54" fillId="0" borderId="0" xfId="0" applyNumberFormat="1" applyFont="1" applyProtection="1">
      <protection hidden="1"/>
    </xf>
    <xf numFmtId="2" fontId="0" fillId="0" borderId="0" xfId="0" applyNumberFormat="1" applyAlignment="1" applyProtection="1">
      <alignment horizontal="left"/>
      <protection hidden="1"/>
    </xf>
    <xf numFmtId="0" fontId="54" fillId="0" borderId="4" xfId="0" applyFont="1" applyBorder="1" applyProtection="1">
      <protection hidden="1"/>
    </xf>
    <xf numFmtId="0" fontId="54" fillId="0" borderId="5" xfId="0" applyFont="1" applyBorder="1" applyProtection="1">
      <protection hidden="1"/>
    </xf>
    <xf numFmtId="43" fontId="34" fillId="0" borderId="5" xfId="14" applyFont="1" applyFill="1" applyBorder="1" applyAlignment="1" applyProtection="1">
      <alignment horizontal="right"/>
      <protection hidden="1"/>
    </xf>
    <xf numFmtId="43" fontId="54" fillId="0" borderId="5" xfId="14" applyFont="1" applyFill="1" applyBorder="1" applyAlignment="1" applyProtection="1">
      <alignment horizontal="right"/>
      <protection hidden="1"/>
    </xf>
    <xf numFmtId="9" fontId="54" fillId="0" borderId="5" xfId="33" applyFont="1" applyBorder="1" applyAlignment="1" applyProtection="1">
      <alignment horizontal="right"/>
      <protection hidden="1"/>
    </xf>
    <xf numFmtId="0" fontId="54" fillId="0" borderId="6" xfId="0" applyFont="1" applyBorder="1" applyProtection="1">
      <protection hidden="1"/>
    </xf>
    <xf numFmtId="0" fontId="54" fillId="0" borderId="13" xfId="0" applyFont="1" applyBorder="1" applyProtection="1">
      <protection hidden="1"/>
    </xf>
    <xf numFmtId="44" fontId="54" fillId="0" borderId="0" xfId="34" applyFont="1" applyFill="1" applyBorder="1" applyAlignment="1" applyProtection="1">
      <alignment horizontal="right"/>
      <protection hidden="1"/>
    </xf>
    <xf numFmtId="9" fontId="54" fillId="0" borderId="0" xfId="33" applyFont="1" applyBorder="1" applyAlignment="1" applyProtection="1">
      <alignment horizontal="right"/>
      <protection hidden="1"/>
    </xf>
    <xf numFmtId="0" fontId="54" fillId="0" borderId="14" xfId="0" applyFont="1" applyBorder="1" applyProtection="1">
      <protection hidden="1"/>
    </xf>
    <xf numFmtId="43" fontId="54" fillId="0" borderId="0" xfId="14" applyFont="1" applyFill="1" applyBorder="1" applyAlignment="1" applyProtection="1">
      <alignment horizontal="right"/>
      <protection hidden="1"/>
    </xf>
    <xf numFmtId="43" fontId="34" fillId="0" borderId="0" xfId="14" applyFont="1" applyFill="1" applyBorder="1" applyAlignment="1" applyProtection="1">
      <alignment horizontal="right"/>
      <protection hidden="1"/>
    </xf>
    <xf numFmtId="171" fontId="54" fillId="0" borderId="0" xfId="0" applyNumberFormat="1" applyFont="1" applyProtection="1">
      <protection hidden="1"/>
    </xf>
    <xf numFmtId="0" fontId="54" fillId="0" borderId="0" xfId="0" applyFont="1" applyAlignment="1" applyProtection="1">
      <alignment horizontal="left"/>
      <protection hidden="1"/>
    </xf>
    <xf numFmtId="2" fontId="54" fillId="0" borderId="14" xfId="0" applyNumberFormat="1" applyFont="1" applyBorder="1" applyProtection="1">
      <protection hidden="1"/>
    </xf>
    <xf numFmtId="2" fontId="54" fillId="0" borderId="0" xfId="14" applyNumberFormat="1" applyFont="1" applyProtection="1">
      <protection hidden="1"/>
    </xf>
    <xf numFmtId="0" fontId="54" fillId="0" borderId="8" xfId="0" applyFont="1" applyBorder="1" applyProtection="1">
      <protection hidden="1"/>
    </xf>
    <xf numFmtId="0" fontId="54" fillId="0" borderId="9" xfId="0" applyFont="1" applyBorder="1" applyProtection="1">
      <protection hidden="1"/>
    </xf>
    <xf numFmtId="44" fontId="54" fillId="0" borderId="9" xfId="34" applyFont="1" applyFill="1" applyBorder="1" applyAlignment="1" applyProtection="1">
      <alignment horizontal="right"/>
      <protection hidden="1"/>
    </xf>
    <xf numFmtId="171" fontId="35" fillId="5" borderId="9" xfId="33" applyNumberFormat="1" applyFont="1" applyFill="1" applyBorder="1" applyProtection="1">
      <protection hidden="1"/>
    </xf>
    <xf numFmtId="0" fontId="35" fillId="5" borderId="9" xfId="0" applyFont="1" applyFill="1" applyBorder="1" applyProtection="1">
      <protection hidden="1"/>
    </xf>
    <xf numFmtId="2" fontId="54" fillId="0" borderId="10" xfId="0" applyNumberFormat="1" applyFont="1" applyBorder="1" applyProtection="1">
      <protection hidden="1"/>
    </xf>
    <xf numFmtId="0" fontId="35" fillId="0" borderId="13" xfId="0" applyFont="1" applyBorder="1" applyProtection="1">
      <protection hidden="1"/>
    </xf>
    <xf numFmtId="44" fontId="73" fillId="0" borderId="14" xfId="0" applyNumberFormat="1" applyFont="1" applyBorder="1" applyAlignment="1" applyProtection="1">
      <alignment horizontal="right"/>
      <protection hidden="1"/>
    </xf>
    <xf numFmtId="0" fontId="54" fillId="0" borderId="0" xfId="0" applyFont="1" applyAlignment="1" applyProtection="1">
      <alignment horizontal="right"/>
      <protection hidden="1"/>
    </xf>
    <xf numFmtId="44" fontId="54" fillId="0" borderId="14" xfId="0" applyNumberFormat="1" applyFont="1" applyBorder="1" applyProtection="1">
      <protection hidden="1"/>
    </xf>
    <xf numFmtId="9" fontId="54" fillId="0" borderId="0" xfId="0" applyNumberFormat="1" applyFont="1" applyProtection="1">
      <protection hidden="1"/>
    </xf>
    <xf numFmtId="44" fontId="54" fillId="0" borderId="9" xfId="34" applyFont="1" applyFill="1" applyBorder="1" applyProtection="1">
      <protection hidden="1"/>
    </xf>
    <xf numFmtId="44" fontId="54" fillId="0" borderId="9" xfId="0" applyNumberFormat="1" applyFont="1" applyBorder="1" applyProtection="1">
      <protection hidden="1"/>
    </xf>
    <xf numFmtId="44" fontId="54" fillId="0" borderId="10" xfId="0" applyNumberFormat="1" applyFont="1" applyBorder="1" applyProtection="1">
      <protection hidden="1"/>
    </xf>
    <xf numFmtId="3" fontId="34" fillId="0" borderId="0" xfId="0" applyNumberFormat="1" applyFont="1" applyAlignment="1" applyProtection="1">
      <alignment horizontal="left"/>
      <protection hidden="1"/>
    </xf>
    <xf numFmtId="165" fontId="54" fillId="0" borderId="0" xfId="34" applyNumberFormat="1" applyFont="1" applyFill="1" applyBorder="1" applyProtection="1">
      <protection hidden="1"/>
    </xf>
    <xf numFmtId="165" fontId="54" fillId="0" borderId="0" xfId="0" applyNumberFormat="1" applyFont="1" applyProtection="1">
      <protection hidden="1"/>
    </xf>
    <xf numFmtId="0" fontId="23" fillId="0" borderId="7" xfId="0" applyFont="1" applyBorder="1" applyProtection="1">
      <protection hidden="1"/>
    </xf>
    <xf numFmtId="0" fontId="54" fillId="0" borderId="24" xfId="0" applyFont="1" applyBorder="1" applyProtection="1">
      <protection hidden="1"/>
    </xf>
    <xf numFmtId="44" fontId="54" fillId="0" borderId="24" xfId="34" applyFont="1" applyFill="1" applyBorder="1" applyProtection="1">
      <protection hidden="1"/>
    </xf>
    <xf numFmtId="44" fontId="54" fillId="0" borderId="15" xfId="0" applyNumberFormat="1" applyFont="1" applyBorder="1" applyProtection="1">
      <protection hidden="1"/>
    </xf>
    <xf numFmtId="44" fontId="54" fillId="0" borderId="0" xfId="34" applyFont="1" applyFill="1" applyBorder="1" applyProtection="1">
      <protection hidden="1"/>
    </xf>
    <xf numFmtId="0" fontId="34" fillId="14" borderId="13" xfId="0" applyFont="1" applyFill="1" applyBorder="1" applyProtection="1">
      <protection hidden="1"/>
    </xf>
    <xf numFmtId="165" fontId="35" fillId="0" borderId="0" xfId="34" applyNumberFormat="1" applyFont="1" applyProtection="1">
      <protection hidden="1"/>
    </xf>
    <xf numFmtId="165" fontId="35" fillId="0" borderId="0" xfId="0" applyNumberFormat="1" applyFont="1" applyProtection="1">
      <protection hidden="1"/>
    </xf>
    <xf numFmtId="165" fontId="35" fillId="0" borderId="0" xfId="34" applyNumberFormat="1" applyFont="1" applyFill="1" applyBorder="1" applyProtection="1">
      <protection hidden="1"/>
    </xf>
    <xf numFmtId="0" fontId="73" fillId="0" borderId="0" xfId="0" applyFont="1" applyProtection="1">
      <protection hidden="1"/>
    </xf>
    <xf numFmtId="0" fontId="0" fillId="0" borderId="6" xfId="0" applyBorder="1" applyProtection="1">
      <protection hidden="1"/>
    </xf>
    <xf numFmtId="2" fontId="34" fillId="0" borderId="0" xfId="32" applyNumberFormat="1" applyFont="1" applyFill="1" applyBorder="1" applyProtection="1">
      <protection hidden="1"/>
    </xf>
    <xf numFmtId="44" fontId="54" fillId="0" borderId="14" xfId="34" applyFont="1" applyFill="1" applyBorder="1" applyAlignment="1" applyProtection="1">
      <alignment horizontal="right"/>
      <protection hidden="1"/>
    </xf>
    <xf numFmtId="3" fontId="35" fillId="0" borderId="0" xfId="0" applyNumberFormat="1" applyFont="1" applyAlignment="1" applyProtection="1">
      <alignment horizontal="left"/>
      <protection hidden="1"/>
    </xf>
    <xf numFmtId="0" fontId="35" fillId="0" borderId="8" xfId="0" applyFont="1" applyBorder="1" applyProtection="1">
      <protection hidden="1"/>
    </xf>
    <xf numFmtId="174" fontId="54" fillId="0" borderId="9" xfId="32" applyNumberFormat="1" applyFont="1" applyFill="1" applyBorder="1" applyProtection="1">
      <protection hidden="1"/>
    </xf>
    <xf numFmtId="174" fontId="54" fillId="0" borderId="9" xfId="32" applyNumberFormat="1" applyFont="1" applyBorder="1" applyProtection="1">
      <protection hidden="1"/>
    </xf>
    <xf numFmtId="174" fontId="35" fillId="0" borderId="10" xfId="0" applyNumberFormat="1" applyFont="1" applyBorder="1" applyProtection="1">
      <protection hidden="1"/>
    </xf>
    <xf numFmtId="44" fontId="34" fillId="0" borderId="0" xfId="0" applyNumberFormat="1" applyFont="1" applyProtection="1">
      <protection hidden="1"/>
    </xf>
    <xf numFmtId="44" fontId="54" fillId="0" borderId="0" xfId="34" applyFont="1" applyProtection="1">
      <protection hidden="1"/>
    </xf>
    <xf numFmtId="1" fontId="54" fillId="0" borderId="0" xfId="0" applyNumberFormat="1" applyFont="1" applyProtection="1">
      <protection hidden="1"/>
    </xf>
    <xf numFmtId="0" fontId="54" fillId="0" borderId="0" xfId="0" applyFont="1" applyAlignment="1" applyProtection="1">
      <alignment wrapText="1"/>
      <protection hidden="1"/>
    </xf>
    <xf numFmtId="2" fontId="34" fillId="0" borderId="0" xfId="0" applyNumberFormat="1" applyFont="1" applyProtection="1">
      <protection hidden="1"/>
    </xf>
    <xf numFmtId="2" fontId="35" fillId="0" borderId="0" xfId="0" applyNumberFormat="1" applyFont="1" applyProtection="1">
      <protection hidden="1"/>
    </xf>
    <xf numFmtId="6" fontId="54" fillId="0" borderId="0" xfId="0" applyNumberFormat="1" applyFont="1" applyProtection="1">
      <protection hidden="1"/>
    </xf>
    <xf numFmtId="5" fontId="54" fillId="0" borderId="0" xfId="0" applyNumberFormat="1" applyFont="1" applyProtection="1">
      <protection hidden="1"/>
    </xf>
    <xf numFmtId="6" fontId="54" fillId="0" borderId="0" xfId="0" quotePrefix="1" applyNumberFormat="1" applyFont="1" applyProtection="1">
      <protection hidden="1"/>
    </xf>
    <xf numFmtId="169" fontId="54" fillId="0" borderId="0" xfId="0" applyNumberFormat="1" applyFont="1" applyProtection="1">
      <protection hidden="1"/>
    </xf>
    <xf numFmtId="169" fontId="54" fillId="0" borderId="0" xfId="9" applyNumberFormat="1" applyFont="1" applyProtection="1">
      <protection hidden="1"/>
    </xf>
    <xf numFmtId="10" fontId="54" fillId="0" borderId="0" xfId="8" quotePrefix="1" applyNumberFormat="1" applyFont="1" applyProtection="1">
      <protection hidden="1"/>
    </xf>
    <xf numFmtId="10" fontId="54" fillId="0" borderId="0" xfId="8" applyNumberFormat="1" applyFont="1" applyProtection="1">
      <protection hidden="1"/>
    </xf>
    <xf numFmtId="171" fontId="54" fillId="0" borderId="0" xfId="8" applyNumberFormat="1" applyFont="1" applyProtection="1">
      <protection hidden="1"/>
    </xf>
    <xf numFmtId="174" fontId="34" fillId="0" borderId="0" xfId="32" applyNumberFormat="1" applyFont="1" applyFill="1" applyBorder="1" applyProtection="1">
      <protection hidden="1"/>
    </xf>
    <xf numFmtId="0" fontId="23" fillId="0" borderId="0" xfId="0" applyFont="1" applyProtection="1">
      <protection hidden="1"/>
    </xf>
    <xf numFmtId="2" fontId="23" fillId="0" borderId="0" xfId="0" applyNumberFormat="1" applyFont="1" applyProtection="1">
      <protection hidden="1"/>
    </xf>
    <xf numFmtId="0" fontId="23" fillId="0" borderId="0" xfId="0" applyFont="1" applyAlignment="1" applyProtection="1">
      <alignment horizontal="center"/>
      <protection hidden="1"/>
    </xf>
    <xf numFmtId="9" fontId="23" fillId="0" borderId="0" xfId="8" applyFont="1" applyProtection="1">
      <protection hidden="1"/>
    </xf>
    <xf numFmtId="0" fontId="78" fillId="0" borderId="0" xfId="0" applyFont="1" applyProtection="1">
      <protection hidden="1"/>
    </xf>
    <xf numFmtId="0" fontId="23" fillId="0" borderId="0" xfId="6" applyFont="1" applyProtection="1">
      <protection hidden="1"/>
    </xf>
    <xf numFmtId="0" fontId="23" fillId="0" borderId="0" xfId="6" applyFont="1" applyAlignment="1" applyProtection="1">
      <alignment wrapText="1"/>
      <protection hidden="1"/>
    </xf>
    <xf numFmtId="0" fontId="23" fillId="12" borderId="0" xfId="6" applyFont="1" applyFill="1" applyAlignment="1" applyProtection="1">
      <alignment wrapText="1"/>
      <protection hidden="1"/>
    </xf>
    <xf numFmtId="2" fontId="23" fillId="0" borderId="0" xfId="6" applyNumberFormat="1" applyFont="1" applyProtection="1">
      <protection hidden="1"/>
    </xf>
    <xf numFmtId="0" fontId="80" fillId="0" borderId="0" xfId="6" applyFont="1" applyProtection="1">
      <protection hidden="1"/>
    </xf>
    <xf numFmtId="0" fontId="0" fillId="0" borderId="0" xfId="6" applyFont="1" applyProtection="1">
      <protection hidden="1"/>
    </xf>
    <xf numFmtId="9" fontId="0" fillId="0" borderId="0" xfId="6" applyNumberFormat="1" applyFont="1" applyProtection="1">
      <protection hidden="1"/>
    </xf>
    <xf numFmtId="164" fontId="0" fillId="0" borderId="0" xfId="6" applyNumberFormat="1" applyFont="1" applyProtection="1">
      <protection hidden="1"/>
    </xf>
    <xf numFmtId="44" fontId="0" fillId="0" borderId="0" xfId="9" applyFont="1" applyFill="1" applyProtection="1">
      <protection hidden="1"/>
    </xf>
    <xf numFmtId="164" fontId="90" fillId="0" borderId="0" xfId="6" applyNumberFormat="1" applyFont="1" applyAlignment="1" applyProtection="1">
      <alignment wrapText="1"/>
      <protection hidden="1"/>
    </xf>
    <xf numFmtId="44" fontId="0" fillId="0" borderId="0" xfId="6" applyNumberFormat="1" applyFont="1" applyProtection="1">
      <protection hidden="1"/>
    </xf>
    <xf numFmtId="165" fontId="0" fillId="12" borderId="0" xfId="9" applyNumberFormat="1" applyFont="1" applyFill="1" applyProtection="1">
      <protection hidden="1"/>
    </xf>
    <xf numFmtId="164" fontId="0" fillId="0" borderId="0" xfId="9" applyNumberFormat="1" applyFont="1" applyProtection="1">
      <protection hidden="1"/>
    </xf>
    <xf numFmtId="44" fontId="0" fillId="0" borderId="0" xfId="9" applyFont="1" applyProtection="1">
      <protection hidden="1"/>
    </xf>
    <xf numFmtId="0" fontId="80" fillId="0" borderId="30" xfId="6" applyFont="1" applyBorder="1" applyProtection="1">
      <protection hidden="1"/>
    </xf>
    <xf numFmtId="164" fontId="0" fillId="0" borderId="30" xfId="9" applyNumberFormat="1" applyFont="1" applyBorder="1" applyProtection="1">
      <protection hidden="1"/>
    </xf>
    <xf numFmtId="44" fontId="0" fillId="0" borderId="0" xfId="9" applyFont="1" applyBorder="1" applyProtection="1">
      <protection hidden="1"/>
    </xf>
    <xf numFmtId="164" fontId="0" fillId="0" borderId="0" xfId="9" applyNumberFormat="1" applyFont="1" applyBorder="1" applyProtection="1">
      <protection hidden="1"/>
    </xf>
    <xf numFmtId="165" fontId="0" fillId="0" borderId="0" xfId="9" applyNumberFormat="1" applyFont="1" applyFill="1" applyBorder="1" applyProtection="1">
      <protection hidden="1"/>
    </xf>
    <xf numFmtId="0" fontId="77" fillId="0" borderId="0" xfId="0" applyFont="1" applyProtection="1">
      <protection hidden="1"/>
    </xf>
    <xf numFmtId="0" fontId="32" fillId="0" borderId="0" xfId="6" applyFont="1" applyProtection="1">
      <protection hidden="1"/>
    </xf>
    <xf numFmtId="165" fontId="32" fillId="12" borderId="0" xfId="6" applyNumberFormat="1" applyFont="1" applyFill="1" applyProtection="1">
      <protection hidden="1"/>
    </xf>
    <xf numFmtId="0" fontId="0" fillId="14" borderId="0" xfId="0" applyFill="1" applyProtection="1">
      <protection hidden="1"/>
    </xf>
    <xf numFmtId="0" fontId="22" fillId="0" borderId="34" xfId="0" applyFont="1" applyBorder="1"/>
    <xf numFmtId="44" fontId="17" fillId="16" borderId="36" xfId="0" applyNumberFormat="1" applyFont="1" applyFill="1" applyBorder="1" applyAlignment="1">
      <alignment horizontal="center"/>
    </xf>
    <xf numFmtId="44" fontId="17" fillId="16" borderId="21" xfId="0" applyNumberFormat="1" applyFont="1" applyFill="1" applyBorder="1" applyAlignment="1">
      <alignment horizontal="center"/>
    </xf>
    <xf numFmtId="1" fontId="17" fillId="16" borderId="34" xfId="0" applyNumberFormat="1" applyFont="1" applyFill="1" applyBorder="1" applyAlignment="1">
      <alignment horizontal="center"/>
    </xf>
    <xf numFmtId="43" fontId="17" fillId="16" borderId="17" xfId="14" applyFont="1" applyFill="1" applyBorder="1" applyProtection="1"/>
    <xf numFmtId="171" fontId="17" fillId="16" borderId="18" xfId="4" applyNumberFormat="1" applyFont="1" applyFill="1" applyBorder="1" applyAlignment="1" applyProtection="1">
      <alignment horizontal="center"/>
    </xf>
    <xf numFmtId="0" fontId="17" fillId="0" borderId="38" xfId="0" quotePrefix="1" applyFont="1" applyBorder="1" applyAlignment="1">
      <alignment horizontal="left"/>
    </xf>
    <xf numFmtId="0" fontId="17" fillId="0" borderId="38" xfId="0" quotePrefix="1" applyFont="1" applyBorder="1"/>
    <xf numFmtId="0" fontId="17" fillId="13" borderId="38" xfId="0" quotePrefix="1" applyFont="1" applyFill="1" applyBorder="1"/>
    <xf numFmtId="0" fontId="17" fillId="0" borderId="38" xfId="0" applyFont="1" applyBorder="1"/>
    <xf numFmtId="0" fontId="10" fillId="0" borderId="37" xfId="0" quotePrefix="1" applyFont="1" applyBorder="1"/>
    <xf numFmtId="0" fontId="17" fillId="0" borderId="37" xfId="0" quotePrefix="1" applyFont="1" applyBorder="1" applyAlignment="1">
      <alignment horizontal="left"/>
    </xf>
    <xf numFmtId="0" fontId="52" fillId="0" borderId="37" xfId="0" quotePrefix="1" applyFont="1" applyBorder="1" applyAlignment="1">
      <alignment horizontal="left"/>
    </xf>
    <xf numFmtId="49" fontId="17" fillId="0" borderId="37" xfId="0" quotePrefix="1" applyNumberFormat="1" applyFont="1" applyBorder="1" applyAlignment="1">
      <alignment horizontal="left"/>
    </xf>
    <xf numFmtId="0" fontId="22" fillId="0" borderId="39" xfId="0" applyFont="1" applyBorder="1" applyAlignment="1">
      <alignment horizontal="center"/>
    </xf>
    <xf numFmtId="0" fontId="22" fillId="0" borderId="40" xfId="0" applyFont="1" applyBorder="1" applyAlignment="1">
      <alignment horizontal="center"/>
    </xf>
    <xf numFmtId="43" fontId="17" fillId="16" borderId="41" xfId="14" applyFont="1" applyFill="1" applyBorder="1" applyProtection="1"/>
    <xf numFmtId="171" fontId="17" fillId="16" borderId="42" xfId="4" applyNumberFormat="1" applyFont="1" applyFill="1" applyBorder="1" applyAlignment="1" applyProtection="1">
      <alignment horizontal="center"/>
    </xf>
    <xf numFmtId="43" fontId="17" fillId="16" borderId="16" xfId="14" applyFont="1" applyFill="1" applyBorder="1" applyProtection="1"/>
    <xf numFmtId="171" fontId="17" fillId="16" borderId="21" xfId="4" applyNumberFormat="1" applyFont="1" applyFill="1" applyBorder="1" applyAlignment="1" applyProtection="1">
      <alignment horizontal="center"/>
    </xf>
    <xf numFmtId="43" fontId="17" fillId="16" borderId="43" xfId="0" applyNumberFormat="1" applyFont="1" applyFill="1" applyBorder="1"/>
    <xf numFmtId="171" fontId="17" fillId="16" borderId="44" xfId="33" applyNumberFormat="1" applyFont="1" applyFill="1" applyBorder="1" applyAlignment="1" applyProtection="1">
      <alignment horizontal="center"/>
    </xf>
    <xf numFmtId="43" fontId="17" fillId="16" borderId="33" xfId="14" applyFont="1" applyFill="1" applyBorder="1" applyProtection="1"/>
    <xf numFmtId="0" fontId="24" fillId="16" borderId="34" xfId="0" applyFont="1" applyFill="1" applyBorder="1"/>
    <xf numFmtId="0" fontId="17" fillId="0" borderId="3" xfId="0" applyFont="1" applyBorder="1" applyAlignment="1">
      <alignment horizontal="left"/>
    </xf>
    <xf numFmtId="0" fontId="52" fillId="0" borderId="38" xfId="0" quotePrefix="1" applyFont="1" applyBorder="1"/>
    <xf numFmtId="164" fontId="52" fillId="0" borderId="31" xfId="0" applyNumberFormat="1" applyFont="1" applyBorder="1" applyProtection="1">
      <protection locked="0"/>
    </xf>
    <xf numFmtId="0" fontId="52" fillId="13" borderId="38" xfId="0" quotePrefix="1" applyFont="1" applyFill="1" applyBorder="1"/>
    <xf numFmtId="0" fontId="92" fillId="0" borderId="0" xfId="6" applyFont="1" applyProtection="1">
      <protection hidden="1"/>
    </xf>
    <xf numFmtId="0" fontId="94" fillId="0" borderId="0" xfId="36" applyAlignment="1">
      <alignment wrapText="1"/>
    </xf>
    <xf numFmtId="2" fontId="17" fillId="0" borderId="3" xfId="0" quotePrefix="1" applyNumberFormat="1" applyFont="1" applyBorder="1" applyAlignment="1" applyProtection="1">
      <alignment horizontal="right"/>
      <protection locked="0"/>
    </xf>
    <xf numFmtId="43" fontId="26" fillId="16" borderId="3" xfId="14" applyFont="1" applyFill="1" applyBorder="1" applyAlignment="1">
      <alignment horizontal="right"/>
    </xf>
    <xf numFmtId="42" fontId="26" fillId="0" borderId="3" xfId="34" applyNumberFormat="1" applyFont="1" applyFill="1" applyBorder="1" applyAlignment="1" applyProtection="1">
      <alignment horizontal="right"/>
      <protection locked="0"/>
    </xf>
    <xf numFmtId="2" fontId="17" fillId="19" borderId="3" xfId="13" quotePrefix="1" applyNumberFormat="1" applyFont="1" applyFill="1" applyBorder="1" applyProtection="1"/>
    <xf numFmtId="2" fontId="10" fillId="19" borderId="3" xfId="13" quotePrefix="1" applyNumberFormat="1" applyFont="1" applyFill="1" applyBorder="1" applyProtection="1"/>
    <xf numFmtId="2" fontId="17" fillId="6" borderId="3" xfId="13" quotePrefix="1" applyNumberFormat="1" applyFont="1" applyFill="1" applyBorder="1" applyAlignment="1" applyProtection="1">
      <protection locked="0"/>
    </xf>
    <xf numFmtId="2" fontId="10" fillId="19" borderId="3" xfId="14" applyNumberFormat="1" applyFont="1" applyFill="1" applyBorder="1" applyProtection="1"/>
    <xf numFmtId="2" fontId="17" fillId="19" borderId="3" xfId="14" quotePrefix="1" applyNumberFormat="1" applyFont="1" applyFill="1" applyBorder="1" applyAlignment="1" applyProtection="1">
      <alignment horizontal="right"/>
    </xf>
    <xf numFmtId="171" fontId="38" fillId="2" borderId="3" xfId="8" applyNumberFormat="1" applyFont="1" applyFill="1" applyBorder="1" applyAlignment="1" applyProtection="1">
      <alignment horizontal="center"/>
      <protection hidden="1"/>
    </xf>
    <xf numFmtId="171" fontId="38" fillId="2" borderId="3" xfId="15" applyNumberFormat="1" applyFont="1" applyFill="1" applyBorder="1" applyAlignment="1" applyProtection="1">
      <alignment horizontal="center"/>
      <protection hidden="1"/>
    </xf>
    <xf numFmtId="0" fontId="54" fillId="0" borderId="14" xfId="0" applyFont="1" applyBorder="1" applyAlignment="1" applyProtection="1">
      <alignment horizontal="right"/>
      <protection hidden="1"/>
    </xf>
  </cellXfs>
  <cellStyles count="37">
    <cellStyle name="Comma" xfId="14" builtinId="3"/>
    <cellStyle name="Comma 2" xfId="2" xr:uid="{00000000-0005-0000-0000-000001000000}"/>
    <cellStyle name="Comma 2 2" xfId="20" xr:uid="{00000000-0005-0000-0000-000002000000}"/>
    <cellStyle name="Comma 2 3" xfId="32" xr:uid="{00000000-0005-0000-0000-000003000000}"/>
    <cellStyle name="Comma 3" xfId="13" xr:uid="{00000000-0005-0000-0000-000004000000}"/>
    <cellStyle name="Comma 3 2" xfId="21" xr:uid="{00000000-0005-0000-0000-000005000000}"/>
    <cellStyle name="Comma 4" xfId="22" xr:uid="{00000000-0005-0000-0000-000006000000}"/>
    <cellStyle name="Comma 5" xfId="23" xr:uid="{00000000-0005-0000-0000-000007000000}"/>
    <cellStyle name="Comma 6" xfId="24" xr:uid="{00000000-0005-0000-0000-000008000000}"/>
    <cellStyle name="Currency" xfId="9" builtinId="4"/>
    <cellStyle name="Currency 2" xfId="3" xr:uid="{00000000-0005-0000-0000-00000A000000}"/>
    <cellStyle name="Currency 2 2" xfId="7" xr:uid="{00000000-0005-0000-0000-00000B000000}"/>
    <cellStyle name="Currency 2 2 2" xfId="25" xr:uid="{00000000-0005-0000-0000-00000C000000}"/>
    <cellStyle name="Currency 2 3" xfId="34" xr:uid="{00000000-0005-0000-0000-00000D000000}"/>
    <cellStyle name="Currency 3" xfId="12" xr:uid="{00000000-0005-0000-0000-00000E000000}"/>
    <cellStyle name="Currency 4" xfId="26" xr:uid="{00000000-0005-0000-0000-00000F000000}"/>
    <cellStyle name="Excel Built-in Normal" xfId="17" xr:uid="{00000000-0005-0000-0000-000010000000}"/>
    <cellStyle name="Hyperlink" xfId="36" builtinId="8"/>
    <cellStyle name="Normal" xfId="0" builtinId="0"/>
    <cellStyle name="Normal 10" xfId="35" xr:uid="{00000000-0005-0000-0000-000012000000}"/>
    <cellStyle name="Normal 2" xfId="1" xr:uid="{00000000-0005-0000-0000-000013000000}"/>
    <cellStyle name="Normal 2 2" xfId="6" xr:uid="{00000000-0005-0000-0000-000014000000}"/>
    <cellStyle name="Normal 2 2 2" xfId="27" xr:uid="{00000000-0005-0000-0000-000015000000}"/>
    <cellStyle name="Normal 3" xfId="5" xr:uid="{00000000-0005-0000-0000-000016000000}"/>
    <cellStyle name="Normal 4" xfId="10" xr:uid="{00000000-0005-0000-0000-000017000000}"/>
    <cellStyle name="Normal 4 2" xfId="28" xr:uid="{00000000-0005-0000-0000-000018000000}"/>
    <cellStyle name="Normal 5" xfId="15" xr:uid="{00000000-0005-0000-0000-000019000000}"/>
    <cellStyle name="Normal 6" xfId="18" xr:uid="{00000000-0005-0000-0000-00001A000000}"/>
    <cellStyle name="Normal 6 3" xfId="31" xr:uid="{00000000-0005-0000-0000-00001B000000}"/>
    <cellStyle name="Normal 7" xfId="29" xr:uid="{00000000-0005-0000-0000-00001C000000}"/>
    <cellStyle name="Percent" xfId="8" builtinId="5"/>
    <cellStyle name="Percent 2" xfId="4" xr:uid="{00000000-0005-0000-0000-00001E000000}"/>
    <cellStyle name="Percent 2 2" xfId="33" xr:uid="{00000000-0005-0000-0000-00001F000000}"/>
    <cellStyle name="Percent 3" xfId="11" xr:uid="{00000000-0005-0000-0000-000020000000}"/>
    <cellStyle name="Percent 3 2" xfId="19" xr:uid="{00000000-0005-0000-0000-000021000000}"/>
    <cellStyle name="Percent 4" xfId="16" xr:uid="{00000000-0005-0000-0000-000022000000}"/>
    <cellStyle name="Percent 5" xfId="30" xr:uid="{00000000-0005-0000-0000-000023000000}"/>
  </cellStyles>
  <dxfs count="0"/>
  <tableStyles count="0" defaultTableStyle="TableStyleMedium2" defaultPivotStyle="PivotStyleLight16"/>
  <colors>
    <mruColors>
      <color rgb="FF0000FF"/>
      <color rgb="FFFFCCFF"/>
      <color rgb="FFCCFFCC"/>
      <color rgb="FFEAEAEA"/>
      <color rgb="FFFFFF99"/>
      <color rgb="FFFDDFC7"/>
      <color rgb="FFE6E6E6"/>
      <color rgb="FFDDDDDD"/>
      <color rgb="FFFF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10584</xdr:colOff>
      <xdr:row>32</xdr:row>
      <xdr:rowOff>127002</xdr:rowOff>
    </xdr:from>
    <xdr:ext cx="6963833" cy="500944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2688167" y="6455835"/>
          <a:ext cx="6963833" cy="500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tIns="91440" bIns="91440" spcCol="457200" rtlCol="0" anchor="ctr" anchorCtr="0">
          <a:noAutofit/>
        </a:bodyPr>
        <a:lstStyle/>
        <a:p>
          <a:pPr algn="ctr"/>
          <a:r>
            <a:rPr lang="en-US" sz="1600" b="1" i="1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O F F I C I A L  </a:t>
          </a:r>
          <a:r>
            <a:rPr lang="en-US" sz="1600" b="1" i="1">
              <a:solidFill>
                <a:srgbClr val="FF0000"/>
              </a:solidFill>
              <a:latin typeface="Arial" pitchFamily="34" charset="0"/>
              <a:cs typeface="Arial" pitchFamily="34" charset="0"/>
            </a:rPr>
            <a:t>R10  </a:t>
          </a:r>
          <a:r>
            <a:rPr lang="en-US" sz="1600" b="1" i="1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2026Q1</a:t>
          </a:r>
          <a:r>
            <a:rPr lang="en-US" sz="1600" b="1" i="1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RV Appraisal  070226</a:t>
          </a:r>
          <a:endParaRPr lang="en-US" sz="1600" b="1" i="1" baseline="0">
            <a:solidFill>
              <a:srgbClr val="FF0000"/>
            </a:solidFill>
            <a:latin typeface="Arial" pitchFamily="34" charset="0"/>
            <a:cs typeface="Arial" pitchFamily="34" charset="0"/>
          </a:endParaRPr>
        </a:p>
        <a:p>
          <a:pPr algn="ctr"/>
          <a:endParaRPr lang="en-US" sz="1400" b="1" i="1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niel.oleary@usda.gov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CFFCC"/>
    <pageSetUpPr fitToPage="1"/>
  </sheetPr>
  <dimension ref="A1:P80"/>
  <sheetViews>
    <sheetView tabSelected="1" zoomScale="90" zoomScaleNormal="90" workbookViewId="0">
      <selection activeCell="C2" sqref="C2"/>
    </sheetView>
  </sheetViews>
  <sheetFormatPr defaultColWidth="9.28515625" defaultRowHeight="10.5" x14ac:dyDescent="0.15"/>
  <cols>
    <col min="1" max="1" width="10" style="1" customWidth="1"/>
    <col min="2" max="2" width="57.42578125" style="1" customWidth="1"/>
    <col min="3" max="3" width="23.85546875" style="1" customWidth="1"/>
    <col min="4" max="4" width="39.7109375" style="1" customWidth="1"/>
    <col min="5" max="5" width="19.7109375" style="1" customWidth="1"/>
    <col min="6" max="6" width="18.7109375" style="1" customWidth="1"/>
    <col min="7" max="7" width="14.5703125" style="1" customWidth="1"/>
    <col min="8" max="8" width="22.7109375" style="1" customWidth="1"/>
    <col min="9" max="9" width="21.42578125" style="1" customWidth="1"/>
    <col min="10" max="10" width="20" style="1" customWidth="1"/>
    <col min="11" max="13" width="9.28515625" style="1" customWidth="1"/>
    <col min="14" max="16384" width="9.28515625" style="1"/>
  </cols>
  <sheetData>
    <row r="1" spans="1:14" ht="30" customHeight="1" thickBot="1" x14ac:dyDescent="0.3">
      <c r="A1" s="57" t="s">
        <v>0</v>
      </c>
      <c r="B1" s="302" t="s">
        <v>426</v>
      </c>
      <c r="C1" s="303" t="s">
        <v>1</v>
      </c>
      <c r="D1" s="109" t="s">
        <v>2</v>
      </c>
      <c r="E1" s="235" t="s">
        <v>3</v>
      </c>
      <c r="F1" s="236" t="s">
        <v>427</v>
      </c>
      <c r="G1" s="261" t="s">
        <v>4</v>
      </c>
      <c r="H1" s="596" t="s">
        <v>5</v>
      </c>
      <c r="J1" s="28"/>
      <c r="K1" s="42"/>
      <c r="L1" s="43"/>
      <c r="M1" s="42"/>
      <c r="N1" s="44"/>
    </row>
    <row r="2" spans="1:14" ht="13.5" customHeight="1" x14ac:dyDescent="0.2">
      <c r="A2" s="91">
        <v>2</v>
      </c>
      <c r="B2" s="92" t="s">
        <v>6</v>
      </c>
      <c r="C2" s="110"/>
      <c r="D2" s="32" t="s">
        <v>7</v>
      </c>
      <c r="E2" s="23"/>
      <c r="F2" s="24"/>
      <c r="G2" s="2"/>
      <c r="H2" s="262"/>
      <c r="I2" s="23"/>
      <c r="J2" s="2"/>
      <c r="K2" s="45"/>
      <c r="L2" s="43"/>
      <c r="M2" s="46"/>
      <c r="N2" s="43"/>
    </row>
    <row r="3" spans="1:14" s="2" customFormat="1" ht="13.5" customHeight="1" x14ac:dyDescent="0.2">
      <c r="A3" s="91">
        <v>3</v>
      </c>
      <c r="B3" s="93" t="s">
        <v>8</v>
      </c>
      <c r="C3" s="111"/>
      <c r="D3" s="32" t="s">
        <v>7</v>
      </c>
      <c r="F3" s="3" t="s">
        <v>9</v>
      </c>
      <c r="K3" s="46"/>
      <c r="L3" s="46"/>
      <c r="M3" s="46"/>
      <c r="N3" s="46"/>
    </row>
    <row r="4" spans="1:14" ht="13.5" customHeight="1" x14ac:dyDescent="0.2">
      <c r="A4" s="91">
        <v>4</v>
      </c>
      <c r="B4" s="93" t="s">
        <v>10</v>
      </c>
      <c r="C4" s="112"/>
      <c r="D4" s="32" t="s">
        <v>11</v>
      </c>
      <c r="E4" s="2"/>
      <c r="F4" s="2"/>
      <c r="G4" s="2"/>
      <c r="H4" s="2"/>
      <c r="I4" s="2"/>
      <c r="J4" s="2"/>
      <c r="K4" s="46"/>
      <c r="L4" s="43"/>
      <c r="M4" s="46"/>
      <c r="N4" s="43"/>
    </row>
    <row r="5" spans="1:14" ht="13.5" customHeight="1" x14ac:dyDescent="0.2">
      <c r="A5" s="91">
        <v>5</v>
      </c>
      <c r="B5" s="93" t="s">
        <v>12</v>
      </c>
      <c r="C5" s="110"/>
      <c r="D5" s="32" t="s">
        <v>7</v>
      </c>
      <c r="E5" s="2"/>
      <c r="F5" s="2"/>
      <c r="G5" s="2"/>
      <c r="H5" s="2"/>
      <c r="I5" s="2"/>
      <c r="J5" s="2"/>
      <c r="K5" s="46"/>
      <c r="L5" s="43"/>
      <c r="M5" s="46"/>
      <c r="N5" s="43"/>
    </row>
    <row r="6" spans="1:14" ht="13.5" customHeight="1" x14ac:dyDescent="0.2">
      <c r="A6" s="91">
        <v>6</v>
      </c>
      <c r="B6" s="93" t="s">
        <v>13</v>
      </c>
      <c r="C6" s="112"/>
      <c r="D6" s="32" t="s">
        <v>7</v>
      </c>
      <c r="E6" s="2"/>
      <c r="F6" s="2"/>
      <c r="G6" s="2"/>
      <c r="H6" s="2"/>
      <c r="I6" s="2"/>
      <c r="J6" s="2"/>
      <c r="K6" s="46"/>
      <c r="L6" s="43"/>
      <c r="M6" s="46"/>
      <c r="N6" s="43"/>
    </row>
    <row r="7" spans="1:14" ht="13.5" customHeight="1" x14ac:dyDescent="0.2">
      <c r="A7" s="91">
        <v>7</v>
      </c>
      <c r="B7" s="92" t="s">
        <v>14</v>
      </c>
      <c r="C7" s="112"/>
      <c r="D7" s="104"/>
      <c r="E7" s="2"/>
      <c r="F7" s="2"/>
      <c r="G7" s="2"/>
      <c r="H7" s="23"/>
      <c r="I7" s="2"/>
      <c r="J7" s="2"/>
      <c r="K7" s="46"/>
      <c r="L7" s="43"/>
      <c r="M7" s="46"/>
      <c r="N7" s="43"/>
    </row>
    <row r="8" spans="1:14" ht="13.5" customHeight="1" x14ac:dyDescent="0.2">
      <c r="A8" s="91">
        <v>8</v>
      </c>
      <c r="B8" s="32" t="s">
        <v>15</v>
      </c>
      <c r="C8" s="112"/>
      <c r="D8" s="290" t="s">
        <v>16</v>
      </c>
      <c r="E8" s="25"/>
      <c r="F8" s="25"/>
      <c r="G8" s="25"/>
      <c r="H8" s="25"/>
      <c r="I8" s="25"/>
      <c r="J8" s="25"/>
      <c r="K8" s="46"/>
      <c r="L8" s="43"/>
      <c r="M8" s="46"/>
      <c r="N8" s="43"/>
    </row>
    <row r="9" spans="1:14" ht="13.5" customHeight="1" x14ac:dyDescent="0.2">
      <c r="A9" s="91">
        <v>9</v>
      </c>
      <c r="B9" s="32" t="s">
        <v>390</v>
      </c>
      <c r="C9" s="113" t="s">
        <v>17</v>
      </c>
      <c r="D9" s="41"/>
    </row>
    <row r="10" spans="1:14" ht="13.5" customHeight="1" x14ac:dyDescent="0.2">
      <c r="A10" s="91">
        <v>10</v>
      </c>
      <c r="B10" s="32" t="s">
        <v>389</v>
      </c>
      <c r="C10" s="113" t="s">
        <v>267</v>
      </c>
      <c r="D10" s="204" t="str">
        <f>IF(C10="Yes","  NOTE:  Contact RO Forest Management staff for P&amp;R% applicability in stewardship contracts", "  ")</f>
        <v xml:space="preserve">  </v>
      </c>
    </row>
    <row r="11" spans="1:14" ht="13.5" customHeight="1" x14ac:dyDescent="0.2">
      <c r="A11" s="91">
        <v>11</v>
      </c>
      <c r="B11" s="213" t="s">
        <v>18</v>
      </c>
      <c r="C11" s="214">
        <v>7</v>
      </c>
      <c r="D11" s="225" t="s">
        <v>19</v>
      </c>
      <c r="E11" s="2"/>
      <c r="F11" s="2"/>
      <c r="G11" s="2"/>
      <c r="H11" s="2"/>
      <c r="I11" s="2"/>
      <c r="J11" s="2"/>
      <c r="K11" s="46"/>
      <c r="L11" s="43"/>
      <c r="M11" s="46"/>
      <c r="N11" s="43"/>
    </row>
    <row r="12" spans="1:14" ht="13.5" customHeight="1" x14ac:dyDescent="0.2">
      <c r="A12" s="91">
        <v>12</v>
      </c>
      <c r="B12" s="215" t="s">
        <v>20</v>
      </c>
      <c r="C12" s="214">
        <v>9</v>
      </c>
      <c r="D12" s="213" t="s">
        <v>21</v>
      </c>
      <c r="G12" s="2"/>
      <c r="H12" s="2"/>
      <c r="I12" s="2"/>
      <c r="J12" s="2"/>
      <c r="K12" s="46"/>
      <c r="L12" s="43"/>
      <c r="M12" s="46"/>
      <c r="N12" s="43"/>
    </row>
    <row r="13" spans="1:14" ht="13.5" customHeight="1" x14ac:dyDescent="0.2">
      <c r="A13" s="91">
        <v>13</v>
      </c>
      <c r="B13" s="216" t="s">
        <v>22</v>
      </c>
      <c r="C13" s="214" t="s">
        <v>23</v>
      </c>
      <c r="D13" s="225" t="s">
        <v>24</v>
      </c>
      <c r="E13" s="247">
        <f>SUM(C26:C28)</f>
        <v>0</v>
      </c>
      <c r="F13" s="32" t="s">
        <v>25</v>
      </c>
      <c r="G13" s="2"/>
      <c r="H13" s="2"/>
      <c r="I13" s="2"/>
      <c r="J13" s="2"/>
      <c r="K13" s="46"/>
      <c r="L13" s="43"/>
      <c r="M13" s="46"/>
      <c r="N13" s="43"/>
    </row>
    <row r="14" spans="1:14" ht="13.5" customHeight="1" x14ac:dyDescent="0.2">
      <c r="A14" s="91">
        <v>14</v>
      </c>
      <c r="B14" s="93" t="s">
        <v>26</v>
      </c>
      <c r="C14" s="114"/>
      <c r="D14" s="26" t="s">
        <v>27</v>
      </c>
      <c r="E14" s="248">
        <f>IF(C16=0,0,C14-E13)</f>
        <v>0</v>
      </c>
      <c r="F14" s="33" t="s">
        <v>387</v>
      </c>
      <c r="G14" s="2"/>
      <c r="H14" s="2"/>
      <c r="I14" s="2"/>
      <c r="J14" s="2"/>
      <c r="K14" s="46"/>
      <c r="L14" s="43"/>
      <c r="M14" s="46"/>
      <c r="N14" s="43"/>
    </row>
    <row r="15" spans="1:14" ht="16.149999999999999" customHeight="1" x14ac:dyDescent="0.2">
      <c r="A15" s="91">
        <v>15</v>
      </c>
      <c r="B15" s="92" t="s">
        <v>28</v>
      </c>
      <c r="C15" s="205"/>
      <c r="D15" s="26" t="s">
        <v>29</v>
      </c>
      <c r="E15" s="183"/>
      <c r="F15" s="15"/>
      <c r="G15" s="2"/>
      <c r="H15" s="2"/>
      <c r="I15" s="2"/>
      <c r="J15" s="2"/>
      <c r="K15" s="46"/>
      <c r="L15" s="43"/>
      <c r="M15" s="46"/>
      <c r="N15" s="43"/>
    </row>
    <row r="16" spans="1:14" ht="16.149999999999999" customHeight="1" x14ac:dyDescent="0.2">
      <c r="A16" s="91">
        <v>16</v>
      </c>
      <c r="B16" s="33" t="s">
        <v>30</v>
      </c>
      <c r="C16" s="115"/>
      <c r="D16" s="33" t="s">
        <v>31</v>
      </c>
      <c r="E16" s="184"/>
      <c r="F16" s="105"/>
      <c r="I16" s="2"/>
      <c r="J16" s="2"/>
      <c r="K16" s="46"/>
      <c r="L16" s="43"/>
      <c r="M16" s="46"/>
      <c r="N16" s="43"/>
    </row>
    <row r="17" spans="1:14" ht="16.149999999999999" customHeight="1" x14ac:dyDescent="0.2">
      <c r="A17" s="91">
        <v>17</v>
      </c>
      <c r="B17" s="33" t="s">
        <v>32</v>
      </c>
      <c r="C17" s="116"/>
      <c r="D17" s="33" t="s">
        <v>33</v>
      </c>
      <c r="E17" s="40"/>
      <c r="F17" s="39"/>
      <c r="G17" s="2"/>
      <c r="H17" s="2"/>
      <c r="I17" s="2"/>
      <c r="J17" s="2"/>
      <c r="K17" s="46"/>
      <c r="L17" s="43"/>
      <c r="M17" s="46"/>
      <c r="N17" s="43"/>
    </row>
    <row r="18" spans="1:14" ht="16.149999999999999" customHeight="1" x14ac:dyDescent="0.2">
      <c r="A18" s="91">
        <v>18</v>
      </c>
      <c r="B18" s="33" t="s">
        <v>34</v>
      </c>
      <c r="C18" s="116"/>
      <c r="D18" s="33" t="s">
        <v>33</v>
      </c>
      <c r="G18" s="2"/>
      <c r="H18" s="2"/>
      <c r="I18" s="2"/>
      <c r="J18" s="2"/>
      <c r="K18" s="46"/>
      <c r="L18" s="43"/>
      <c r="M18" s="46"/>
      <c r="N18" s="43"/>
    </row>
    <row r="19" spans="1:14" ht="16.149999999999999" customHeight="1" x14ac:dyDescent="0.2">
      <c r="A19" s="91">
        <v>19</v>
      </c>
      <c r="B19" s="33" t="s">
        <v>35</v>
      </c>
      <c r="C19" s="116"/>
      <c r="D19" s="33" t="s">
        <v>33</v>
      </c>
      <c r="E19" s="2"/>
      <c r="F19" s="39"/>
      <c r="G19" s="2"/>
      <c r="H19" s="2"/>
      <c r="N19" s="43"/>
    </row>
    <row r="20" spans="1:14" ht="16.149999999999999" customHeight="1" x14ac:dyDescent="0.2">
      <c r="A20" s="91">
        <v>20</v>
      </c>
      <c r="B20" s="217" t="s">
        <v>36</v>
      </c>
      <c r="C20" s="598">
        <f>$C$16*C17</f>
        <v>0</v>
      </c>
      <c r="D20" s="217" t="s">
        <v>37</v>
      </c>
      <c r="E20" s="249">
        <f>C17+C18+C19</f>
        <v>0</v>
      </c>
      <c r="F20" s="33" t="s">
        <v>38</v>
      </c>
      <c r="G20" s="32"/>
      <c r="H20" s="32"/>
      <c r="N20" s="43"/>
    </row>
    <row r="21" spans="1:14" ht="16.149999999999999" customHeight="1" x14ac:dyDescent="0.2">
      <c r="A21" s="91">
        <v>21</v>
      </c>
      <c r="B21" s="217" t="s">
        <v>39</v>
      </c>
      <c r="C21" s="598">
        <f>$C$16*C18</f>
        <v>0</v>
      </c>
      <c r="D21" s="217" t="s">
        <v>37</v>
      </c>
      <c r="E21" s="250">
        <f>C23+C24+C25</f>
        <v>0</v>
      </c>
      <c r="F21" s="32" t="s">
        <v>40</v>
      </c>
      <c r="G21" s="32"/>
      <c r="H21" s="32"/>
      <c r="N21" s="43"/>
    </row>
    <row r="22" spans="1:14" ht="16.149999999999999" customHeight="1" x14ac:dyDescent="0.2">
      <c r="A22" s="91">
        <v>22</v>
      </c>
      <c r="B22" s="217" t="s">
        <v>41</v>
      </c>
      <c r="C22" s="598">
        <f>$C$16*C19</f>
        <v>0</v>
      </c>
      <c r="D22" s="217" t="s">
        <v>37</v>
      </c>
      <c r="E22" s="251"/>
      <c r="F22" s="251"/>
      <c r="G22" s="251"/>
      <c r="H22" s="251"/>
      <c r="I22" s="46"/>
    </row>
    <row r="23" spans="1:14" ht="16.149999999999999" customHeight="1" x14ac:dyDescent="0.2">
      <c r="A23" s="91">
        <v>23</v>
      </c>
      <c r="B23" s="215" t="s">
        <v>42</v>
      </c>
      <c r="C23" s="219">
        <f>IF('INPUT  Pg1'!C15=0,0,('OG Heli  INPUT'!D52/C15))</f>
        <v>0</v>
      </c>
      <c r="D23" s="224" t="s">
        <v>37</v>
      </c>
      <c r="E23" s="252">
        <f>SUM(E24:E25)+SUM(C21:C22)</f>
        <v>0</v>
      </c>
      <c r="F23" s="29" t="s">
        <v>43</v>
      </c>
      <c r="G23" s="32"/>
      <c r="H23" s="32"/>
    </row>
    <row r="24" spans="1:14" ht="16.149999999999999" customHeight="1" x14ac:dyDescent="0.2">
      <c r="A24" s="91">
        <v>24</v>
      </c>
      <c r="B24" s="92" t="s">
        <v>412</v>
      </c>
      <c r="C24" s="194"/>
      <c r="D24" s="32" t="s">
        <v>33</v>
      </c>
      <c r="E24" s="253">
        <f>IF(C27&lt;1,0,IF(C24&gt;0.001,($C$15*C24),"need %"))</f>
        <v>0</v>
      </c>
      <c r="F24" s="26" t="s">
        <v>44</v>
      </c>
      <c r="G24" s="254">
        <f>IF(C27=0,0,E24/C27)</f>
        <v>0</v>
      </c>
      <c r="H24" s="32" t="s">
        <v>45</v>
      </c>
      <c r="K24" s="46"/>
      <c r="L24" s="43"/>
    </row>
    <row r="25" spans="1:14" ht="16.149999999999999" customHeight="1" x14ac:dyDescent="0.2">
      <c r="A25" s="91">
        <v>25</v>
      </c>
      <c r="B25" s="92" t="s">
        <v>46</v>
      </c>
      <c r="C25" s="194"/>
      <c r="D25" s="32" t="s">
        <v>33</v>
      </c>
      <c r="E25" s="253">
        <f>IF(C28&lt;1,0,IF(C25&gt;0.001,($C$15*C25),"need %"))</f>
        <v>0</v>
      </c>
      <c r="F25" s="26" t="s">
        <v>47</v>
      </c>
      <c r="G25" s="254">
        <f>IF(C28=0,0,E25/C28)</f>
        <v>0</v>
      </c>
      <c r="H25" s="32" t="s">
        <v>48</v>
      </c>
      <c r="K25" s="46"/>
      <c r="L25" s="43"/>
      <c r="M25" s="46"/>
      <c r="N25" s="43"/>
    </row>
    <row r="26" spans="1:14" ht="16.149999999999999" customHeight="1" x14ac:dyDescent="0.2">
      <c r="A26" s="91">
        <v>26</v>
      </c>
      <c r="B26" s="94" t="s">
        <v>49</v>
      </c>
      <c r="C26" s="117"/>
      <c r="D26" s="32" t="s">
        <v>50</v>
      </c>
      <c r="E26" s="253">
        <f>IF(C26&lt;1,0,IF(C23&gt;0.001,($C$15*C23),"Need OG Heli INPUT "))</f>
        <v>0</v>
      </c>
      <c r="F26" s="26" t="s">
        <v>51</v>
      </c>
      <c r="G26" s="254">
        <f>IF(C26=0,0,E26/C26)</f>
        <v>0</v>
      </c>
      <c r="H26" s="32" t="s">
        <v>52</v>
      </c>
      <c r="K26" s="46"/>
      <c r="L26" s="43"/>
      <c r="M26" s="46"/>
      <c r="N26" s="43"/>
    </row>
    <row r="27" spans="1:14" ht="16.149999999999999" customHeight="1" x14ac:dyDescent="0.2">
      <c r="A27" s="91">
        <v>27</v>
      </c>
      <c r="B27" s="94" t="s">
        <v>53</v>
      </c>
      <c r="C27" s="117"/>
      <c r="D27" s="29" t="s">
        <v>54</v>
      </c>
      <c r="E27" s="255">
        <f>IF(C26=0,0,C15+C16-E23-C20)</f>
        <v>0</v>
      </c>
      <c r="F27" s="32" t="s">
        <v>55</v>
      </c>
      <c r="G27" s="32"/>
      <c r="H27" s="256"/>
      <c r="K27" s="46"/>
      <c r="L27" s="43"/>
    </row>
    <row r="28" spans="1:14" ht="16.149999999999999" customHeight="1" x14ac:dyDescent="0.2">
      <c r="A28" s="91">
        <v>28</v>
      </c>
      <c r="B28" s="94" t="s">
        <v>56</v>
      </c>
      <c r="C28" s="117"/>
      <c r="D28" s="29" t="s">
        <v>57</v>
      </c>
      <c r="I28" s="98"/>
      <c r="J28" s="98"/>
      <c r="K28" s="46"/>
      <c r="L28" s="43"/>
    </row>
    <row r="29" spans="1:14" ht="16.149999999999999" customHeight="1" x14ac:dyDescent="0.2">
      <c r="A29" s="91">
        <v>29</v>
      </c>
      <c r="B29" s="92" t="s">
        <v>58</v>
      </c>
      <c r="C29" s="118"/>
      <c r="D29" s="32" t="s">
        <v>59</v>
      </c>
      <c r="E29" s="15"/>
      <c r="F29" s="15"/>
      <c r="G29" s="15"/>
      <c r="H29" s="15"/>
      <c r="I29" s="98"/>
      <c r="J29" s="98"/>
      <c r="K29" s="46"/>
      <c r="L29" s="43"/>
      <c r="N29" s="43"/>
    </row>
    <row r="30" spans="1:14" ht="16.149999999999999" customHeight="1" x14ac:dyDescent="0.2">
      <c r="A30" s="91">
        <v>30</v>
      </c>
      <c r="B30" s="92" t="s">
        <v>60</v>
      </c>
      <c r="C30" s="118"/>
      <c r="D30" s="32" t="s">
        <v>59</v>
      </c>
      <c r="E30" s="15"/>
      <c r="F30" s="15"/>
      <c r="G30" s="15"/>
      <c r="H30" s="15"/>
      <c r="I30" s="15"/>
      <c r="J30" s="15"/>
      <c r="K30" s="46"/>
      <c r="L30" s="43"/>
      <c r="M30" s="46"/>
      <c r="N30" s="43"/>
    </row>
    <row r="31" spans="1:14" ht="16.149999999999999" customHeight="1" x14ac:dyDescent="0.2">
      <c r="A31" s="91">
        <v>31</v>
      </c>
      <c r="B31" s="216" t="s">
        <v>61</v>
      </c>
      <c r="C31" s="220">
        <f>IF(C15=0,0,C15)</f>
        <v>0</v>
      </c>
      <c r="D31" s="213" t="s">
        <v>37</v>
      </c>
      <c r="E31" s="15"/>
      <c r="F31" s="15"/>
      <c r="G31" s="106"/>
      <c r="H31" s="15"/>
      <c r="I31" s="15"/>
      <c r="J31" s="15"/>
      <c r="K31" s="46"/>
      <c r="L31" s="43"/>
      <c r="M31" s="46"/>
      <c r="N31" s="43"/>
    </row>
    <row r="32" spans="1:14" ht="16.149999999999999" customHeight="1" x14ac:dyDescent="0.2">
      <c r="A32" s="91">
        <v>32</v>
      </c>
      <c r="B32" s="226" t="s">
        <v>62</v>
      </c>
      <c r="C32" s="218">
        <f>IF(C16=0,0,C16)</f>
        <v>0</v>
      </c>
      <c r="D32" s="217" t="s">
        <v>37</v>
      </c>
      <c r="E32" s="15"/>
      <c r="F32" s="15"/>
      <c r="G32" s="15"/>
      <c r="H32" s="15"/>
      <c r="I32" s="15"/>
      <c r="J32" s="15"/>
      <c r="K32" s="46"/>
      <c r="L32" s="43"/>
      <c r="M32" s="46"/>
      <c r="N32" s="43"/>
    </row>
    <row r="33" spans="1:14" ht="16.149999999999999" customHeight="1" x14ac:dyDescent="0.2">
      <c r="A33" s="91">
        <v>33</v>
      </c>
      <c r="B33" s="93" t="s">
        <v>63</v>
      </c>
      <c r="C33" s="597"/>
      <c r="D33" s="32" t="s">
        <v>64</v>
      </c>
      <c r="E33" s="15"/>
      <c r="F33" s="15"/>
      <c r="G33" s="15"/>
      <c r="H33" s="15"/>
      <c r="I33" s="15"/>
      <c r="J33" s="15"/>
      <c r="K33" s="46"/>
      <c r="L33" s="43"/>
      <c r="M33" s="46"/>
      <c r="N33" s="43"/>
    </row>
    <row r="34" spans="1:14" ht="16.149999999999999" customHeight="1" x14ac:dyDescent="0.2">
      <c r="A34" s="91">
        <v>34</v>
      </c>
      <c r="B34" s="215" t="s">
        <v>65</v>
      </c>
      <c r="C34" s="221">
        <f>'Notes_Tow Dist'!B24</f>
        <v>0</v>
      </c>
      <c r="D34" s="213" t="s">
        <v>66</v>
      </c>
      <c r="E34" s="15"/>
      <c r="F34" s="15"/>
      <c r="G34" s="15"/>
      <c r="H34" s="15"/>
      <c r="I34" s="15"/>
      <c r="J34" s="15"/>
      <c r="K34" s="46"/>
      <c r="L34" s="43"/>
      <c r="M34" s="46"/>
      <c r="N34" s="43"/>
    </row>
    <row r="35" spans="1:14" ht="16.149999999999999" customHeight="1" x14ac:dyDescent="0.2">
      <c r="A35" s="91">
        <v>35</v>
      </c>
      <c r="B35" s="216" t="s">
        <v>67</v>
      </c>
      <c r="C35" s="222">
        <f>IF(AND(C36&gt;0,'Notes_Tow Dist'!B26=0),"enter tow dist in notes tab",'Notes_Tow Dist'!B26)</f>
        <v>0</v>
      </c>
      <c r="D35" s="213" t="s">
        <v>68</v>
      </c>
      <c r="E35" s="15"/>
      <c r="F35" s="15"/>
      <c r="G35" s="15"/>
      <c r="H35" s="15"/>
      <c r="I35" s="15"/>
      <c r="J35" s="15"/>
      <c r="K35" s="46"/>
      <c r="L35" s="43"/>
      <c r="M35" s="46"/>
      <c r="N35" s="43"/>
    </row>
    <row r="36" spans="1:14" ht="16.149999999999999" customHeight="1" x14ac:dyDescent="0.2">
      <c r="A36" s="91">
        <v>36</v>
      </c>
      <c r="B36" s="95" t="s">
        <v>69</v>
      </c>
      <c r="C36" s="119"/>
      <c r="D36" s="32" t="s">
        <v>70</v>
      </c>
      <c r="E36" s="15"/>
      <c r="F36" s="15"/>
      <c r="G36" s="15"/>
      <c r="H36" s="15"/>
      <c r="I36" s="15"/>
      <c r="J36" s="15"/>
      <c r="K36" s="46"/>
      <c r="L36" s="43"/>
      <c r="M36" s="46"/>
      <c r="N36" s="43"/>
    </row>
    <row r="37" spans="1:14" ht="16.149999999999999" customHeight="1" x14ac:dyDescent="0.2">
      <c r="A37" s="91">
        <v>37</v>
      </c>
      <c r="B37" s="33" t="s">
        <v>71</v>
      </c>
      <c r="C37" s="599"/>
      <c r="D37" s="33" t="s">
        <v>72</v>
      </c>
      <c r="E37" s="15"/>
      <c r="F37" s="15"/>
      <c r="G37" s="15"/>
      <c r="H37" s="15"/>
      <c r="I37" s="15"/>
      <c r="J37" s="15"/>
      <c r="K37" s="46"/>
      <c r="L37" s="43"/>
      <c r="M37" s="46"/>
      <c r="N37" s="43"/>
    </row>
    <row r="38" spans="1:14" ht="16.149999999999999" customHeight="1" x14ac:dyDescent="0.2">
      <c r="A38" s="91">
        <v>38</v>
      </c>
      <c r="B38" s="33" t="s">
        <v>73</v>
      </c>
      <c r="C38" s="599"/>
      <c r="D38" s="33" t="s">
        <v>72</v>
      </c>
      <c r="E38" s="15"/>
      <c r="F38" s="15"/>
      <c r="G38" s="15"/>
      <c r="H38" s="15"/>
      <c r="I38" s="15"/>
      <c r="J38" s="15"/>
      <c r="K38" s="46"/>
      <c r="L38" s="43"/>
      <c r="M38" s="46"/>
      <c r="N38" s="43"/>
    </row>
    <row r="39" spans="1:14" ht="16.149999999999999" customHeight="1" x14ac:dyDescent="0.2">
      <c r="A39" s="91">
        <v>39</v>
      </c>
      <c r="B39" s="33" t="s">
        <v>74</v>
      </c>
      <c r="C39" s="599"/>
      <c r="D39" s="33" t="s">
        <v>388</v>
      </c>
      <c r="E39" s="15"/>
      <c r="F39" s="15"/>
      <c r="G39" s="15"/>
      <c r="H39" s="15"/>
      <c r="I39" s="15"/>
      <c r="J39" s="15"/>
      <c r="K39" s="46"/>
      <c r="L39" s="43"/>
      <c r="M39" s="46"/>
      <c r="N39" s="43"/>
    </row>
    <row r="40" spans="1:14" ht="16.149999999999999" customHeight="1" x14ac:dyDescent="0.2">
      <c r="A40" s="91">
        <v>40</v>
      </c>
      <c r="B40" s="92" t="s">
        <v>75</v>
      </c>
      <c r="C40" s="119"/>
      <c r="D40" s="32" t="s">
        <v>76</v>
      </c>
      <c r="E40" s="15"/>
      <c r="F40" s="15"/>
      <c r="G40" s="15"/>
      <c r="H40" s="15"/>
      <c r="I40" s="15"/>
      <c r="J40" s="15"/>
      <c r="K40" s="46"/>
      <c r="L40" s="43"/>
      <c r="M40" s="46"/>
      <c r="N40" s="43"/>
    </row>
    <row r="41" spans="1:14" ht="16.149999999999999" customHeight="1" x14ac:dyDescent="0.2">
      <c r="A41" s="91">
        <v>41</v>
      </c>
      <c r="B41" s="92" t="s">
        <v>77</v>
      </c>
      <c r="C41" s="120"/>
      <c r="D41" s="32" t="s">
        <v>78</v>
      </c>
      <c r="E41" s="15"/>
      <c r="F41" s="15"/>
      <c r="G41" s="15"/>
      <c r="H41" s="15"/>
      <c r="I41" s="15"/>
      <c r="J41" s="15"/>
      <c r="K41" s="46"/>
      <c r="L41" s="43"/>
      <c r="M41" s="46"/>
      <c r="N41" s="43"/>
    </row>
    <row r="42" spans="1:14" ht="16.149999999999999" customHeight="1" x14ac:dyDescent="0.2">
      <c r="A42" s="91">
        <v>42</v>
      </c>
      <c r="B42" s="93" t="s">
        <v>79</v>
      </c>
      <c r="C42" s="121"/>
      <c r="D42" s="32" t="s">
        <v>80</v>
      </c>
      <c r="E42" s="107"/>
      <c r="F42" s="108"/>
      <c r="G42" s="108"/>
      <c r="H42" s="15"/>
      <c r="I42" s="15"/>
      <c r="J42" s="15"/>
      <c r="K42" s="46"/>
      <c r="L42" s="43"/>
      <c r="M42" s="46"/>
      <c r="N42" s="43"/>
    </row>
    <row r="43" spans="1:14" ht="16.149999999999999" customHeight="1" x14ac:dyDescent="0.2">
      <c r="A43" s="91">
        <v>43</v>
      </c>
      <c r="B43" s="93" t="s">
        <v>81</v>
      </c>
      <c r="C43" s="121"/>
      <c r="D43" s="32" t="s">
        <v>80</v>
      </c>
      <c r="E43" s="15"/>
      <c r="F43" s="15"/>
      <c r="G43" s="15"/>
      <c r="H43" s="15"/>
      <c r="I43" s="15"/>
      <c r="J43" s="15"/>
      <c r="K43" s="46"/>
      <c r="L43" s="43"/>
      <c r="M43" s="46"/>
      <c r="N43" s="43"/>
    </row>
    <row r="44" spans="1:14" ht="16.149999999999999" customHeight="1" x14ac:dyDescent="0.2">
      <c r="A44" s="91">
        <v>44</v>
      </c>
      <c r="B44" s="93" t="s">
        <v>82</v>
      </c>
      <c r="C44" s="121"/>
      <c r="D44" s="32" t="s">
        <v>83</v>
      </c>
      <c r="E44" s="15"/>
      <c r="F44" s="15"/>
      <c r="G44" s="15"/>
      <c r="H44" s="15"/>
      <c r="I44" s="15"/>
      <c r="J44" s="15"/>
      <c r="K44" s="47"/>
      <c r="L44" s="43"/>
      <c r="M44" s="46"/>
      <c r="N44" s="43"/>
    </row>
    <row r="45" spans="1:14" ht="16.149999999999999" customHeight="1" x14ac:dyDescent="0.2">
      <c r="A45" s="91">
        <v>45</v>
      </c>
      <c r="B45" s="93" t="s">
        <v>84</v>
      </c>
      <c r="C45" s="121"/>
      <c r="D45" s="32" t="s">
        <v>80</v>
      </c>
      <c r="E45" s="15"/>
      <c r="F45" s="15"/>
      <c r="G45" s="15"/>
      <c r="H45" s="15"/>
      <c r="I45" s="15"/>
      <c r="J45" s="15"/>
      <c r="K45" s="46"/>
      <c r="L45" s="43"/>
      <c r="M45" s="46"/>
      <c r="N45" s="43"/>
    </row>
    <row r="46" spans="1:14" ht="16.149999999999999" customHeight="1" x14ac:dyDescent="0.2">
      <c r="A46" s="91">
        <v>46</v>
      </c>
      <c r="B46" s="93" t="s">
        <v>85</v>
      </c>
      <c r="C46" s="121"/>
      <c r="D46" s="32" t="s">
        <v>80</v>
      </c>
      <c r="E46" s="15"/>
      <c r="F46" s="15"/>
      <c r="G46" s="15"/>
      <c r="H46" s="15"/>
      <c r="I46" s="15"/>
      <c r="J46" s="15"/>
      <c r="K46" s="46"/>
      <c r="L46" s="43"/>
      <c r="M46" s="46"/>
      <c r="N46" s="43"/>
    </row>
    <row r="47" spans="1:14" ht="16.149999999999999" customHeight="1" x14ac:dyDescent="0.2">
      <c r="A47" s="91">
        <v>47</v>
      </c>
      <c r="B47" s="92" t="s">
        <v>86</v>
      </c>
      <c r="C47" s="122"/>
      <c r="D47" s="32" t="s">
        <v>50</v>
      </c>
      <c r="E47" s="15"/>
      <c r="F47" s="15"/>
      <c r="G47" s="15"/>
      <c r="H47" s="15"/>
      <c r="I47" s="15"/>
      <c r="J47" s="15"/>
      <c r="K47" s="46"/>
      <c r="L47" s="43"/>
      <c r="M47" s="46"/>
      <c r="N47" s="43"/>
    </row>
    <row r="48" spans="1:14" ht="16.149999999999999" customHeight="1" x14ac:dyDescent="0.2">
      <c r="A48" s="91">
        <v>48</v>
      </c>
      <c r="B48" s="213" t="s">
        <v>87</v>
      </c>
      <c r="C48" s="223">
        <f>IF(C47=0,0,IF(AND(C47&gt;0,F61=0),"need total nmbf removed",(C47*((F61/C14)*((('Logging Costs'!C2+'Logging Costs'!C4)/('Logging Costs'!B2+'Logging Costs'!B4))-29.4)))))</f>
        <v>0</v>
      </c>
      <c r="D48" s="213" t="s">
        <v>37</v>
      </c>
      <c r="E48" s="15"/>
      <c r="F48" s="32"/>
      <c r="G48" s="32"/>
      <c r="H48" s="32"/>
      <c r="I48" s="32"/>
      <c r="J48" s="32"/>
      <c r="K48" s="46"/>
      <c r="L48" s="43"/>
      <c r="M48" s="46"/>
      <c r="N48" s="43"/>
    </row>
    <row r="49" spans="1:16" ht="16.149999999999999" customHeight="1" x14ac:dyDescent="0.2">
      <c r="A49" s="91">
        <v>49</v>
      </c>
      <c r="B49" s="93" t="s">
        <v>401</v>
      </c>
      <c r="C49" s="121"/>
      <c r="D49" s="32" t="s">
        <v>88</v>
      </c>
      <c r="E49" s="29"/>
      <c r="F49" s="26"/>
      <c r="G49" s="26"/>
      <c r="H49" s="26"/>
      <c r="I49" s="26"/>
      <c r="J49" s="26"/>
      <c r="K49" s="46"/>
      <c r="L49" s="43"/>
      <c r="M49" s="46"/>
      <c r="N49" s="43"/>
    </row>
    <row r="50" spans="1:16" ht="16.149999999999999" customHeight="1" x14ac:dyDescent="0.2">
      <c r="A50" s="91">
        <v>50</v>
      </c>
      <c r="B50" s="93" t="s">
        <v>89</v>
      </c>
      <c r="C50" s="121"/>
      <c r="D50" s="32" t="s">
        <v>50</v>
      </c>
      <c r="E50" s="26"/>
      <c r="F50" s="27" t="s">
        <v>90</v>
      </c>
      <c r="G50" s="27"/>
      <c r="H50" s="27"/>
      <c r="I50" s="26"/>
      <c r="J50" s="26"/>
      <c r="K50" s="46"/>
      <c r="L50" s="43"/>
      <c r="M50" s="46"/>
      <c r="N50" s="43"/>
    </row>
    <row r="51" spans="1:16" ht="14.65" customHeight="1" x14ac:dyDescent="0.2">
      <c r="A51" s="91">
        <v>51</v>
      </c>
      <c r="B51" s="32"/>
      <c r="C51" s="53"/>
      <c r="D51" s="41"/>
      <c r="E51" s="26"/>
      <c r="F51" s="26" t="s">
        <v>91</v>
      </c>
      <c r="G51" s="26"/>
      <c r="H51" s="26"/>
      <c r="I51" s="26"/>
      <c r="J51" s="26"/>
      <c r="K51" s="46"/>
      <c r="L51" s="43"/>
      <c r="M51" s="46"/>
      <c r="N51" s="46"/>
    </row>
    <row r="52" spans="1:16" ht="16.149999999999999" customHeight="1" thickBot="1" x14ac:dyDescent="0.25">
      <c r="A52" s="91">
        <v>52</v>
      </c>
      <c r="B52" s="29" t="s">
        <v>92</v>
      </c>
      <c r="C52" s="26"/>
      <c r="D52" s="258"/>
      <c r="E52" s="22"/>
      <c r="F52" s="270" t="s">
        <v>93</v>
      </c>
      <c r="G52" s="267"/>
      <c r="H52" s="268"/>
      <c r="I52" s="269"/>
      <c r="J52" s="269"/>
      <c r="K52" s="2"/>
      <c r="L52" s="46"/>
      <c r="M52" s="43"/>
      <c r="N52" s="43"/>
      <c r="O52" s="43"/>
    </row>
    <row r="53" spans="1:16" ht="23.65" customHeight="1" thickBot="1" x14ac:dyDescent="0.25">
      <c r="A53" s="577" t="s">
        <v>94</v>
      </c>
      <c r="B53" s="259" t="s">
        <v>95</v>
      </c>
      <c r="C53" s="260" t="s">
        <v>96</v>
      </c>
      <c r="D53" s="260" t="s">
        <v>97</v>
      </c>
      <c r="E53" s="202" t="s">
        <v>98</v>
      </c>
      <c r="F53" s="203" t="s">
        <v>99</v>
      </c>
      <c r="G53" s="203" t="s">
        <v>100</v>
      </c>
      <c r="H53" s="567" t="s">
        <v>101</v>
      </c>
      <c r="I53" s="581" t="s">
        <v>102</v>
      </c>
      <c r="J53" s="582" t="s">
        <v>103</v>
      </c>
      <c r="K53" s="96"/>
      <c r="L53" s="97"/>
      <c r="M53" s="98"/>
      <c r="N53" s="43"/>
      <c r="O53" s="43"/>
    </row>
    <row r="54" spans="1:16" ht="16.5" customHeight="1" thickBot="1" x14ac:dyDescent="0.25">
      <c r="A54" s="578" t="s">
        <v>104</v>
      </c>
      <c r="B54" s="573" t="s">
        <v>105</v>
      </c>
      <c r="C54" s="99"/>
      <c r="D54" s="99"/>
      <c r="E54" s="229">
        <f>IF(C54=0,0,(C54-D54)/C54)</f>
        <v>0</v>
      </c>
      <c r="F54" s="227">
        <v>1</v>
      </c>
      <c r="G54" s="228">
        <v>0</v>
      </c>
      <c r="H54" s="568" t="str">
        <f>IF(G54&lt;50%,"Alaska Mill","Foreign Market")</f>
        <v>Alaska Mill</v>
      </c>
      <c r="I54" s="589"/>
      <c r="J54" s="590"/>
      <c r="K54" s="257"/>
      <c r="L54" s="98"/>
      <c r="M54" s="98"/>
      <c r="N54" s="43"/>
      <c r="O54" s="43"/>
    </row>
    <row r="55" spans="1:16" ht="16.5" customHeight="1" thickBot="1" x14ac:dyDescent="0.25">
      <c r="A55" s="578" t="s">
        <v>104</v>
      </c>
      <c r="B55" s="574" t="s">
        <v>106</v>
      </c>
      <c r="C55" s="99"/>
      <c r="D55" s="99"/>
      <c r="E55" s="229">
        <f t="shared" ref="E55:E60" si="0">IF(C55=0,0,(C55-D55)/C55)</f>
        <v>0</v>
      </c>
      <c r="F55" s="263">
        <v>1</v>
      </c>
      <c r="G55" s="232">
        <f>IF(ISBLANK(F55)," ",1-F55)</f>
        <v>0</v>
      </c>
      <c r="H55" s="569" t="str">
        <f>IF(G55&lt;=50%,"Alaska Mill","Foreign Market")</f>
        <v>Alaska Mill</v>
      </c>
      <c r="I55" s="585">
        <f>(G55*D55+G54*D54)</f>
        <v>0</v>
      </c>
      <c r="J55" s="586">
        <f>IF(I55=0,0,ROUND((I55/F61),2))</f>
        <v>0</v>
      </c>
      <c r="K55" s="201" t="s">
        <v>218</v>
      </c>
      <c r="L55" s="98"/>
      <c r="M55" s="98"/>
      <c r="N55" s="43"/>
      <c r="O55" s="43"/>
    </row>
    <row r="56" spans="1:16" ht="16.5" customHeight="1" thickBot="1" x14ac:dyDescent="0.25">
      <c r="A56" s="579" t="s">
        <v>108</v>
      </c>
      <c r="B56" s="592" t="s">
        <v>109</v>
      </c>
      <c r="C56" s="593"/>
      <c r="D56" s="593"/>
      <c r="E56" s="229">
        <f t="shared" si="0"/>
        <v>0</v>
      </c>
      <c r="F56" s="263">
        <v>1</v>
      </c>
      <c r="G56" s="232">
        <f>IF(ISBLANK(F56)," ",1-F56)</f>
        <v>0</v>
      </c>
      <c r="H56" s="569" t="str">
        <f>IF(G56&lt;=50%,"Alaska Mill","Foreign Market")</f>
        <v>Alaska Mill</v>
      </c>
      <c r="I56" s="571">
        <f>(G56*D56)</f>
        <v>0</v>
      </c>
      <c r="J56" s="572">
        <f>IF(I56=0,0,ROUND((I56/F62),2))</f>
        <v>0</v>
      </c>
      <c r="K56" s="201" t="s">
        <v>219</v>
      </c>
      <c r="L56" s="98"/>
      <c r="M56" s="98"/>
      <c r="N56" s="43"/>
      <c r="O56" s="43"/>
    </row>
    <row r="57" spans="1:16" ht="16.5" customHeight="1" thickBot="1" x14ac:dyDescent="0.25">
      <c r="A57" s="578" t="s">
        <v>393</v>
      </c>
      <c r="B57" s="575" t="s">
        <v>394</v>
      </c>
      <c r="C57" s="99"/>
      <c r="D57" s="99"/>
      <c r="E57" s="229">
        <f t="shared" si="0"/>
        <v>0</v>
      </c>
      <c r="F57" s="263">
        <v>1</v>
      </c>
      <c r="G57" s="232">
        <f>IF(ISBLANK(F57)," ",1-F57)</f>
        <v>0</v>
      </c>
      <c r="H57" s="569" t="str">
        <f>IF(G57&lt;=50%,"Alaska Mill","Foreign Market")</f>
        <v>Alaska Mill</v>
      </c>
      <c r="I57" s="571">
        <f>(G57*D57)</f>
        <v>0</v>
      </c>
      <c r="J57" s="572">
        <f>IF(I57=0,0,ROUND((I57/F61),2))</f>
        <v>0</v>
      </c>
      <c r="K57" s="201" t="s">
        <v>396</v>
      </c>
      <c r="L57" s="98"/>
      <c r="M57" s="98"/>
      <c r="N57" s="43"/>
      <c r="O57" s="43"/>
    </row>
    <row r="58" spans="1:16" ht="16.5" customHeight="1" thickBot="1" x14ac:dyDescent="0.25">
      <c r="A58" s="579" t="s">
        <v>392</v>
      </c>
      <c r="B58" s="594" t="s">
        <v>395</v>
      </c>
      <c r="C58" s="593"/>
      <c r="D58" s="593"/>
      <c r="E58" s="229">
        <f t="shared" si="0"/>
        <v>0</v>
      </c>
      <c r="F58" s="263">
        <v>1</v>
      </c>
      <c r="G58" s="232">
        <f>IF(ISBLANK(F58)," ",1-F58)</f>
        <v>0</v>
      </c>
      <c r="H58" s="569" t="str">
        <f>IF(G58&lt;=50%,"Alaska Mill","Foreign Market")</f>
        <v>Alaska Mill</v>
      </c>
      <c r="I58" s="583">
        <f>(G58*D58)</f>
        <v>0</v>
      </c>
      <c r="J58" s="584">
        <f>IF(I58=0,0,ROUND((I58/F62),2))</f>
        <v>0</v>
      </c>
      <c r="K58" s="201" t="s">
        <v>397</v>
      </c>
      <c r="L58" s="98"/>
      <c r="M58" s="98"/>
      <c r="N58" s="43"/>
      <c r="O58" s="43"/>
    </row>
    <row r="59" spans="1:16" ht="16.5" customHeight="1" thickBot="1" x14ac:dyDescent="0.25">
      <c r="A59" s="578" t="s">
        <v>112</v>
      </c>
      <c r="B59" s="574" t="s">
        <v>113</v>
      </c>
      <c r="C59" s="99"/>
      <c r="D59" s="99"/>
      <c r="E59" s="229">
        <f>IF(C59=0,0,(C59-D59)/C59)</f>
        <v>0</v>
      </c>
      <c r="F59" s="230">
        <v>0</v>
      </c>
      <c r="G59" s="231">
        <v>1</v>
      </c>
      <c r="H59" s="570" t="s">
        <v>114</v>
      </c>
      <c r="I59" s="589">
        <f>G59*D59</f>
        <v>0</v>
      </c>
      <c r="J59" s="229">
        <f>IF(I59=0,0,ROUND((I59/F61),2))</f>
        <v>0</v>
      </c>
      <c r="K59" s="201" t="s">
        <v>115</v>
      </c>
      <c r="L59" s="98"/>
      <c r="M59" s="98"/>
      <c r="N59" s="43"/>
      <c r="O59" s="43"/>
    </row>
    <row r="60" spans="1:16" ht="16.5" customHeight="1" thickBot="1" x14ac:dyDescent="0.25">
      <c r="A60" s="580" t="s">
        <v>116</v>
      </c>
      <c r="B60" s="576" t="s">
        <v>117</v>
      </c>
      <c r="C60" s="99"/>
      <c r="D60" s="99"/>
      <c r="E60" s="229">
        <f t="shared" si="0"/>
        <v>0</v>
      </c>
      <c r="F60" s="230">
        <v>1</v>
      </c>
      <c r="G60" s="231">
        <v>0</v>
      </c>
      <c r="H60" s="570" t="str">
        <f>IF(G60&lt;50%,"Alaska Mill","L48")</f>
        <v>Alaska Mill</v>
      </c>
      <c r="I60" s="587">
        <f>G60*D60</f>
        <v>0</v>
      </c>
      <c r="J60" s="588">
        <f>IF(I60=0,0,ROUND((I60/F61),2))</f>
        <v>0</v>
      </c>
      <c r="K60" s="201" t="s">
        <v>118</v>
      </c>
      <c r="L60" s="98"/>
      <c r="M60" s="98"/>
      <c r="N60" s="43"/>
      <c r="O60" s="43"/>
    </row>
    <row r="61" spans="1:16" ht="18" customHeight="1" x14ac:dyDescent="0.2">
      <c r="A61" s="15"/>
      <c r="B61" s="32"/>
      <c r="C61" s="32"/>
      <c r="D61" s="32"/>
      <c r="E61" s="32"/>
      <c r="F61" s="301">
        <f>SUM(D54:D60)</f>
        <v>0</v>
      </c>
      <c r="G61" s="29" t="s">
        <v>119</v>
      </c>
      <c r="H61" s="29"/>
      <c r="I61" s="233">
        <f>+I55+I56+I57+I58</f>
        <v>0</v>
      </c>
      <c r="J61" s="32" t="s">
        <v>120</v>
      </c>
      <c r="K61" s="256"/>
      <c r="L61" s="98"/>
      <c r="M61" s="98"/>
      <c r="N61" s="98"/>
      <c r="O61" s="98"/>
      <c r="P61" s="15"/>
    </row>
    <row r="62" spans="1:16" ht="18" customHeight="1" x14ac:dyDescent="0.25">
      <c r="A62" s="100"/>
      <c r="B62" s="15"/>
      <c r="C62" s="15"/>
      <c r="D62" s="90"/>
      <c r="E62" s="90"/>
      <c r="F62" s="193">
        <f>SUM(C54:C60)</f>
        <v>0</v>
      </c>
      <c r="G62" s="95" t="s">
        <v>121</v>
      </c>
      <c r="H62" s="95"/>
      <c r="I62" s="234">
        <f>IF(F61=0,0,(I55+I56+I57+I58)/F61)</f>
        <v>0</v>
      </c>
      <c r="J62" s="29" t="s">
        <v>122</v>
      </c>
      <c r="K62" s="256"/>
      <c r="L62" s="98"/>
      <c r="M62" s="98"/>
      <c r="O62" s="98"/>
      <c r="P62" s="15"/>
    </row>
    <row r="63" spans="1:16" ht="18" customHeight="1" x14ac:dyDescent="0.2">
      <c r="A63" s="101"/>
      <c r="B63" s="289"/>
      <c r="C63" s="15"/>
      <c r="D63" s="15"/>
      <c r="E63" s="15"/>
      <c r="F63" s="102">
        <f>IF(F61=0,0,(F62-F61)/F62)</f>
        <v>0</v>
      </c>
      <c r="G63" s="29" t="s">
        <v>123</v>
      </c>
      <c r="H63" s="204" t="str">
        <f>IF(I62&gt;0.505,"              NOTE:  RF approval required  if HS export &gt;50% total sale saw nmbf", "  ")</f>
        <v xml:space="preserve">  </v>
      </c>
      <c r="I63" s="15"/>
      <c r="J63" s="123"/>
      <c r="K63" s="15"/>
      <c r="L63" s="98"/>
      <c r="M63" s="98"/>
      <c r="O63" s="98"/>
      <c r="P63" s="15"/>
    </row>
    <row r="64" spans="1:16" ht="14.65" customHeight="1" x14ac:dyDescent="0.2">
      <c r="A64" s="101"/>
      <c r="B64" s="101"/>
      <c r="C64" s="101"/>
      <c r="D64" s="101"/>
      <c r="E64" s="101"/>
      <c r="F64" s="15"/>
      <c r="G64" s="103"/>
      <c r="H64" s="2"/>
      <c r="I64" s="15"/>
      <c r="J64" s="124"/>
      <c r="K64" s="123"/>
      <c r="L64" s="15"/>
      <c r="M64" s="15"/>
      <c r="O64" s="15"/>
      <c r="P64" s="15"/>
    </row>
    <row r="65" spans="1:16" ht="14.65" customHeight="1" x14ac:dyDescent="0.2">
      <c r="A65" s="25"/>
      <c r="B65" s="25"/>
      <c r="C65" s="25"/>
      <c r="D65" s="25"/>
      <c r="E65" s="25"/>
      <c r="F65" s="2"/>
      <c r="G65" s="2"/>
      <c r="H65" s="2"/>
      <c r="K65" s="4"/>
      <c r="L65" s="15"/>
      <c r="M65" s="15"/>
      <c r="N65" s="15"/>
      <c r="O65" s="98"/>
      <c r="P65" s="15"/>
    </row>
    <row r="66" spans="1:16" ht="14.65" customHeight="1" x14ac:dyDescent="0.25">
      <c r="A66"/>
      <c r="B66" s="25"/>
      <c r="C66" s="25"/>
      <c r="D66" s="25"/>
      <c r="E66" s="2"/>
      <c r="F66" s="2"/>
      <c r="G66" s="2"/>
      <c r="L66" s="15"/>
      <c r="M66" s="15"/>
      <c r="N66" s="15"/>
      <c r="O66" s="15"/>
      <c r="P66" s="15"/>
    </row>
    <row r="67" spans="1:16" ht="14.65" customHeight="1" x14ac:dyDescent="0.25">
      <c r="A67" s="20"/>
      <c r="B67"/>
      <c r="C67"/>
      <c r="D67"/>
      <c r="J67" s="5"/>
    </row>
    <row r="68" spans="1:16" ht="12" customHeight="1" x14ac:dyDescent="0.15">
      <c r="C68" s="21"/>
      <c r="J68" s="5"/>
    </row>
    <row r="69" spans="1:16" ht="13.15" customHeight="1" x14ac:dyDescent="0.15">
      <c r="A69" s="17"/>
      <c r="C69" s="21"/>
      <c r="J69" s="5"/>
    </row>
    <row r="70" spans="1:16" x14ac:dyDescent="0.15">
      <c r="A70" s="17"/>
      <c r="B70" s="16"/>
      <c r="C70" s="21"/>
      <c r="D70" s="4"/>
      <c r="J70" s="4"/>
    </row>
    <row r="71" spans="1:16" x14ac:dyDescent="0.15">
      <c r="A71" s="17"/>
      <c r="B71" s="16"/>
      <c r="C71" s="21"/>
      <c r="D71" s="4"/>
      <c r="J71" s="4"/>
      <c r="K71" s="4"/>
    </row>
    <row r="72" spans="1:16" x14ac:dyDescent="0.15">
      <c r="B72" s="16"/>
      <c r="C72" s="19"/>
      <c r="D72" s="4"/>
      <c r="J72" s="4"/>
      <c r="K72" s="4"/>
    </row>
    <row r="73" spans="1:16" ht="12" customHeight="1" x14ac:dyDescent="0.15">
      <c r="B73" s="4"/>
      <c r="J73" s="4"/>
      <c r="K73" s="4"/>
    </row>
    <row r="74" spans="1:16" ht="12" customHeight="1" x14ac:dyDescent="0.15">
      <c r="A74" s="4"/>
      <c r="B74" s="18"/>
      <c r="J74" s="4"/>
      <c r="K74" s="4"/>
    </row>
    <row r="75" spans="1:16" x14ac:dyDescent="0.15">
      <c r="A75" s="4"/>
      <c r="B75" s="4"/>
      <c r="C75" s="4"/>
      <c r="D75" s="4"/>
      <c r="J75" s="4"/>
      <c r="K75" s="4"/>
    </row>
    <row r="76" spans="1:16" x14ac:dyDescent="0.15">
      <c r="A76" s="4"/>
      <c r="B76" s="4"/>
      <c r="C76" s="4"/>
      <c r="D76" s="4"/>
      <c r="J76" s="4"/>
      <c r="K76" s="4"/>
    </row>
    <row r="77" spans="1:16" x14ac:dyDescent="0.15">
      <c r="A77" s="4"/>
      <c r="B77" s="4"/>
      <c r="C77" s="4"/>
      <c r="D77" s="4"/>
      <c r="I77" s="4"/>
      <c r="J77" s="4"/>
      <c r="K77" s="4"/>
    </row>
    <row r="78" spans="1:16" x14ac:dyDescent="0.15">
      <c r="A78" s="4"/>
      <c r="B78" s="4"/>
      <c r="C78" s="4"/>
      <c r="D78" s="4"/>
      <c r="H78" s="4"/>
      <c r="I78" s="4"/>
      <c r="J78" s="4"/>
      <c r="K78" s="4"/>
    </row>
    <row r="79" spans="1:16" x14ac:dyDescent="0.15">
      <c r="A79" s="4"/>
      <c r="B79" s="4"/>
      <c r="C79" s="4"/>
      <c r="D79" s="4"/>
      <c r="E79" s="4"/>
      <c r="F79" s="4"/>
      <c r="G79" s="4"/>
      <c r="H79" s="4"/>
      <c r="I79" s="4"/>
      <c r="K79" s="4"/>
    </row>
    <row r="80" spans="1:16" x14ac:dyDescent="0.15">
      <c r="B80" s="4"/>
      <c r="C80" s="4"/>
      <c r="D80" s="4"/>
      <c r="E80" s="4"/>
      <c r="F80" s="4"/>
      <c r="G80" s="4"/>
    </row>
  </sheetData>
  <sheetProtection algorithmName="SHA-512" hashValue="z/0Ha2Ex//US0vvgMgYMEaXyEa2q0EH0SvA7SodsSNxfUAAC0JNM6N/krTLh/xq1Uw+vBa+f6HaaFNiKQhz8dQ==" saltValue="8ToN7Zs2MJBXJtFx+uXRmA==" spinCount="100000" sheet="1" objects="1" scenarios="1"/>
  <hyperlinks>
    <hyperlink ref="H1" r:id="rId1" xr:uid="{E8C0A039-DF38-47D0-9E3A-CB7BE73C9ED8}"/>
  </hyperlinks>
  <printOptions gridLines="1"/>
  <pageMargins left="0.25" right="0.25" top="0.25" bottom="0.25" header="0" footer="0"/>
  <pageSetup paperSize="3" scale="79" orientation="landscape" r:id="rId2"/>
  <headerFooter alignWithMargins="0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Select from List  (between 0.00 and 1.00)                  _x000a__x000a_" promptTitle="Alaska processing" xr:uid="{E5BF9168-9DD8-471D-8344-1222E1DCF3C1}">
          <x14:formula1>
            <xm:f>'Project SV mfg'!$J$51:$J$61</xm:f>
          </x14:formula1>
          <xm:sqref>F55:F58</xm:sqref>
        </x14:dataValidation>
        <x14:dataValidation type="list" allowBlank="1" showInputMessage="1" showErrorMessage="1" error="Please select Yes or No from list" xr:uid="{E354B875-048F-458F-9A08-E63889B6FDB8}">
          <x14:formula1>
            <xm:f>'Project SV mfg'!$G$54:$G$55</xm:f>
          </x14:formula1>
          <xm:sqref>C9:C10</xm:sqref>
        </x14:dataValidation>
        <x14:dataValidation type="whole" allowBlank="1" showInputMessage="1" showErrorMessage="1" xr:uid="{C8225805-BC9B-4922-A288-148EE16C235C}">
          <x14:formula1>
            <xm:f>'Project SV mfg'!J51</xm:f>
          </x14:formula1>
          <x14:formula2>
            <xm:f>'Project SV mfg'!J62</xm:f>
          </x14:formula2>
          <xm:sqref>F59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CFFCC"/>
    <pageSetUpPr fitToPage="1"/>
  </sheetPr>
  <dimension ref="A1:L56"/>
  <sheetViews>
    <sheetView zoomScale="90" zoomScaleNormal="90" workbookViewId="0">
      <selection activeCell="A2" sqref="A2"/>
    </sheetView>
  </sheetViews>
  <sheetFormatPr defaultRowHeight="15" x14ac:dyDescent="0.25"/>
  <cols>
    <col min="1" max="1" width="15.42578125" style="13" customWidth="1"/>
    <col min="2" max="2" width="22.28515625" style="13" customWidth="1"/>
    <col min="3" max="3" width="11" style="182" customWidth="1"/>
    <col min="4" max="4" width="24.7109375" style="14" customWidth="1"/>
    <col min="5" max="5" width="18.42578125" style="14" customWidth="1"/>
    <col min="6" max="6" width="17" style="14" customWidth="1"/>
    <col min="7" max="7" width="13.7109375" hidden="1" customWidth="1"/>
    <col min="8" max="8" width="12.28515625" hidden="1" customWidth="1"/>
    <col min="9" max="9" width="12.7109375" hidden="1" customWidth="1"/>
    <col min="10" max="10" width="13.28515625" hidden="1" customWidth="1"/>
    <col min="11" max="11" width="11.42578125" hidden="1" customWidth="1"/>
    <col min="12" max="12" width="9.28515625" customWidth="1"/>
    <col min="13" max="13" width="10" customWidth="1"/>
    <col min="14" max="18" width="9.28515625" customWidth="1"/>
  </cols>
  <sheetData>
    <row r="1" spans="1:12" ht="64.5" customHeight="1" x14ac:dyDescent="0.25">
      <c r="A1" s="66" t="s">
        <v>124</v>
      </c>
      <c r="B1" s="67" t="s">
        <v>125</v>
      </c>
      <c r="C1" s="67" t="s">
        <v>126</v>
      </c>
      <c r="D1" s="291" t="s">
        <v>127</v>
      </c>
      <c r="E1" s="68" t="s">
        <v>128</v>
      </c>
      <c r="F1" s="69" t="s">
        <v>129</v>
      </c>
      <c r="G1" s="70" t="s">
        <v>130</v>
      </c>
      <c r="H1" s="71" t="s">
        <v>131</v>
      </c>
      <c r="I1" s="72" t="s">
        <v>132</v>
      </c>
      <c r="J1" s="73" t="s">
        <v>133</v>
      </c>
      <c r="K1" s="316" t="s">
        <v>134</v>
      </c>
    </row>
    <row r="2" spans="1:12" x14ac:dyDescent="0.25">
      <c r="A2" s="74"/>
      <c r="B2" s="75"/>
      <c r="C2" s="195"/>
      <c r="D2" s="196"/>
      <c r="E2" s="76"/>
      <c r="F2" s="76"/>
      <c r="G2" s="77">
        <f t="shared" ref="G2:G33" si="0">IF(E2=0,0,IF(F2/E2&gt;0.38,SQRT(((E2*E2)+(F2*F2))/0.4),SQRT((E2*E2)+(F2*F2))))</f>
        <v>0</v>
      </c>
      <c r="H2" s="6">
        <f xml:space="preserve"> IF(B2&gt;65,72157/(-0.02152*G2+229.719)*(0.0085*B2+0.4552),72157/(-0.02152*G2+229.719))*D2</f>
        <v>0</v>
      </c>
      <c r="I2" s="6">
        <f t="shared" ref="I2:I48" si="1">IF(C2="no",H2,H2*1.1)</f>
        <v>0</v>
      </c>
      <c r="J2" s="78">
        <f t="shared" ref="J2:J48" si="2">F2/0.3788</f>
        <v>0</v>
      </c>
      <c r="K2" s="7" t="s">
        <v>135</v>
      </c>
    </row>
    <row r="3" spans="1:12" x14ac:dyDescent="0.25">
      <c r="A3" s="74"/>
      <c r="B3" s="75"/>
      <c r="C3" s="195"/>
      <c r="D3" s="196"/>
      <c r="E3" s="76"/>
      <c r="F3" s="76"/>
      <c r="G3" s="77">
        <f t="shared" si="0"/>
        <v>0</v>
      </c>
      <c r="H3" s="6">
        <f t="shared" ref="H3:H51" si="3" xml:space="preserve"> IF(B3&gt;65,72157/(-0.02152*G3+229.719)*(0.0085*B3+0.4552),72157/(-0.02152*G3+229.719))*D3</f>
        <v>0</v>
      </c>
      <c r="I3" s="6">
        <f t="shared" si="1"/>
        <v>0</v>
      </c>
      <c r="J3" s="78">
        <f t="shared" si="2"/>
        <v>0</v>
      </c>
      <c r="K3" s="7" t="s">
        <v>136</v>
      </c>
    </row>
    <row r="4" spans="1:12" x14ac:dyDescent="0.25">
      <c r="A4" s="74"/>
      <c r="B4" s="75"/>
      <c r="C4" s="195"/>
      <c r="D4" s="196"/>
      <c r="E4" s="76"/>
      <c r="F4" s="76"/>
      <c r="G4" s="77">
        <f t="shared" si="0"/>
        <v>0</v>
      </c>
      <c r="H4" s="6">
        <f t="shared" si="3"/>
        <v>0</v>
      </c>
      <c r="I4" s="6">
        <f t="shared" si="1"/>
        <v>0</v>
      </c>
      <c r="J4" s="78">
        <f t="shared" si="2"/>
        <v>0</v>
      </c>
      <c r="K4" s="7" t="s">
        <v>137</v>
      </c>
    </row>
    <row r="5" spans="1:12" x14ac:dyDescent="0.25">
      <c r="A5" s="74"/>
      <c r="B5" s="75"/>
      <c r="C5" s="195"/>
      <c r="D5" s="196"/>
      <c r="E5" s="76"/>
      <c r="F5" s="76"/>
      <c r="G5" s="77">
        <f t="shared" si="0"/>
        <v>0</v>
      </c>
      <c r="H5" s="6">
        <f t="shared" si="3"/>
        <v>0</v>
      </c>
      <c r="I5" s="6">
        <f t="shared" si="1"/>
        <v>0</v>
      </c>
      <c r="J5" s="78">
        <f t="shared" si="2"/>
        <v>0</v>
      </c>
      <c r="K5" s="7" t="s">
        <v>138</v>
      </c>
    </row>
    <row r="6" spans="1:12" x14ac:dyDescent="0.25">
      <c r="A6" s="74"/>
      <c r="B6" s="75"/>
      <c r="C6" s="195"/>
      <c r="D6" s="196"/>
      <c r="E6" s="76"/>
      <c r="F6" s="76"/>
      <c r="G6" s="77">
        <f t="shared" si="0"/>
        <v>0</v>
      </c>
      <c r="H6" s="6">
        <f t="shared" si="3"/>
        <v>0</v>
      </c>
      <c r="I6" s="6">
        <f t="shared" si="1"/>
        <v>0</v>
      </c>
      <c r="J6" s="78">
        <f t="shared" si="2"/>
        <v>0</v>
      </c>
      <c r="K6" s="7" t="s">
        <v>139</v>
      </c>
    </row>
    <row r="7" spans="1:12" x14ac:dyDescent="0.25">
      <c r="A7" s="74"/>
      <c r="B7" s="75"/>
      <c r="C7" s="195"/>
      <c r="D7" s="196"/>
      <c r="E7" s="76"/>
      <c r="F7" s="76"/>
      <c r="G7" s="77">
        <f t="shared" si="0"/>
        <v>0</v>
      </c>
      <c r="H7" s="6">
        <f t="shared" si="3"/>
        <v>0</v>
      </c>
      <c r="I7" s="6">
        <f t="shared" si="1"/>
        <v>0</v>
      </c>
      <c r="J7" s="78">
        <f t="shared" si="2"/>
        <v>0</v>
      </c>
      <c r="K7" s="7" t="s">
        <v>140</v>
      </c>
      <c r="L7" s="79"/>
    </row>
    <row r="8" spans="1:12" x14ac:dyDescent="0.25">
      <c r="A8" s="74"/>
      <c r="B8" s="75"/>
      <c r="C8" s="195"/>
      <c r="D8" s="196"/>
      <c r="E8" s="76"/>
      <c r="F8" s="76"/>
      <c r="G8" s="77">
        <f t="shared" si="0"/>
        <v>0</v>
      </c>
      <c r="H8" s="6">
        <f t="shared" si="3"/>
        <v>0</v>
      </c>
      <c r="I8" s="6">
        <f t="shared" si="1"/>
        <v>0</v>
      </c>
      <c r="J8" s="78">
        <f t="shared" si="2"/>
        <v>0</v>
      </c>
      <c r="K8" s="7" t="s">
        <v>141</v>
      </c>
    </row>
    <row r="9" spans="1:12" x14ac:dyDescent="0.25">
      <c r="A9" s="74"/>
      <c r="B9" s="75"/>
      <c r="C9" s="195"/>
      <c r="D9" s="196"/>
      <c r="E9" s="76"/>
      <c r="F9" s="76"/>
      <c r="G9" s="77">
        <f t="shared" ref="G9:G29" si="4">IF(E9=0,0,IF(F9/E9&gt;0.38,SQRT(((E9*E9)+(F9*F9))/0.4),SQRT((E9*E9)+(F9*F9))))</f>
        <v>0</v>
      </c>
      <c r="H9" s="6">
        <f t="shared" si="3"/>
        <v>0</v>
      </c>
      <c r="I9" s="6">
        <f t="shared" ref="I9:I29" si="5">IF(C9="no",H9,H9*1.1)</f>
        <v>0</v>
      </c>
      <c r="J9" s="78">
        <f t="shared" ref="J9:J29" si="6">F9/0.3788</f>
        <v>0</v>
      </c>
      <c r="K9" s="65" t="s">
        <v>142</v>
      </c>
    </row>
    <row r="10" spans="1:12" x14ac:dyDescent="0.25">
      <c r="A10" s="74"/>
      <c r="B10" s="75"/>
      <c r="C10" s="195"/>
      <c r="D10" s="196"/>
      <c r="E10" s="76"/>
      <c r="F10" s="76"/>
      <c r="G10" s="77">
        <f t="shared" si="4"/>
        <v>0</v>
      </c>
      <c r="H10" s="6">
        <f t="shared" si="3"/>
        <v>0</v>
      </c>
      <c r="I10" s="6">
        <f t="shared" si="5"/>
        <v>0</v>
      </c>
      <c r="J10" s="78">
        <f t="shared" si="6"/>
        <v>0</v>
      </c>
      <c r="K10" s="7" t="s">
        <v>143</v>
      </c>
    </row>
    <row r="11" spans="1:12" x14ac:dyDescent="0.25">
      <c r="A11" s="74"/>
      <c r="B11" s="75"/>
      <c r="C11" s="195"/>
      <c r="D11" s="196"/>
      <c r="E11" s="76"/>
      <c r="F11" s="76"/>
      <c r="G11" s="77">
        <f t="shared" si="4"/>
        <v>0</v>
      </c>
      <c r="H11" s="6">
        <f t="shared" si="3"/>
        <v>0</v>
      </c>
      <c r="I11" s="6">
        <f t="shared" si="5"/>
        <v>0</v>
      </c>
      <c r="J11" s="78">
        <f t="shared" si="6"/>
        <v>0</v>
      </c>
      <c r="K11" s="7" t="s">
        <v>144</v>
      </c>
    </row>
    <row r="12" spans="1:12" x14ac:dyDescent="0.25">
      <c r="A12" s="74"/>
      <c r="B12" s="75"/>
      <c r="C12" s="195"/>
      <c r="D12" s="196"/>
      <c r="E12" s="76"/>
      <c r="F12" s="76"/>
      <c r="G12" s="77">
        <f t="shared" si="4"/>
        <v>0</v>
      </c>
      <c r="H12" s="6">
        <f t="shared" si="3"/>
        <v>0</v>
      </c>
      <c r="I12" s="6">
        <f t="shared" si="5"/>
        <v>0</v>
      </c>
      <c r="J12" s="78">
        <f t="shared" si="6"/>
        <v>0</v>
      </c>
      <c r="K12" s="7" t="s">
        <v>145</v>
      </c>
    </row>
    <row r="13" spans="1:12" x14ac:dyDescent="0.25">
      <c r="A13" s="74"/>
      <c r="B13" s="75"/>
      <c r="C13" s="195"/>
      <c r="D13" s="196"/>
      <c r="E13" s="76"/>
      <c r="F13" s="76"/>
      <c r="G13" s="77">
        <f t="shared" si="4"/>
        <v>0</v>
      </c>
      <c r="H13" s="6">
        <f t="shared" si="3"/>
        <v>0</v>
      </c>
      <c r="I13" s="6">
        <f t="shared" si="5"/>
        <v>0</v>
      </c>
      <c r="J13" s="78">
        <f t="shared" si="6"/>
        <v>0</v>
      </c>
      <c r="K13" s="7" t="s">
        <v>146</v>
      </c>
    </row>
    <row r="14" spans="1:12" x14ac:dyDescent="0.25">
      <c r="A14" s="74"/>
      <c r="B14" s="75"/>
      <c r="C14" s="195"/>
      <c r="D14" s="196"/>
      <c r="E14" s="76"/>
      <c r="F14" s="76"/>
      <c r="G14" s="77">
        <f t="shared" si="4"/>
        <v>0</v>
      </c>
      <c r="H14" s="6">
        <f t="shared" si="3"/>
        <v>0</v>
      </c>
      <c r="I14" s="6">
        <f t="shared" si="5"/>
        <v>0</v>
      </c>
      <c r="J14" s="78">
        <f t="shared" si="6"/>
        <v>0</v>
      </c>
      <c r="K14" s="7" t="s">
        <v>410</v>
      </c>
    </row>
    <row r="15" spans="1:12" x14ac:dyDescent="0.25">
      <c r="A15" s="74"/>
      <c r="B15" s="75"/>
      <c r="C15" s="195"/>
      <c r="D15" s="196"/>
      <c r="E15" s="76"/>
      <c r="F15" s="76"/>
      <c r="G15" s="77">
        <f t="shared" si="4"/>
        <v>0</v>
      </c>
      <c r="H15" s="6">
        <f t="shared" si="3"/>
        <v>0</v>
      </c>
      <c r="I15" s="6">
        <f t="shared" si="5"/>
        <v>0</v>
      </c>
      <c r="J15" s="78">
        <f t="shared" si="6"/>
        <v>0</v>
      </c>
      <c r="K15" s="7" t="s">
        <v>428</v>
      </c>
    </row>
    <row r="16" spans="1:12" x14ac:dyDescent="0.25">
      <c r="A16" s="74"/>
      <c r="B16" s="75"/>
      <c r="C16" s="195"/>
      <c r="D16" s="196"/>
      <c r="E16" s="76"/>
      <c r="F16" s="76"/>
      <c r="G16" s="77">
        <f t="shared" si="4"/>
        <v>0</v>
      </c>
      <c r="H16" s="6">
        <f t="shared" si="3"/>
        <v>0</v>
      </c>
      <c r="I16" s="6">
        <f t="shared" si="5"/>
        <v>0</v>
      </c>
      <c r="J16" s="78">
        <f t="shared" si="6"/>
        <v>0</v>
      </c>
    </row>
    <row r="17" spans="1:11" x14ac:dyDescent="0.25">
      <c r="A17" s="74"/>
      <c r="B17" s="75"/>
      <c r="C17" s="195"/>
      <c r="D17" s="196"/>
      <c r="E17" s="76"/>
      <c r="F17" s="76"/>
      <c r="G17" s="77">
        <f t="shared" si="4"/>
        <v>0</v>
      </c>
      <c r="H17" s="6">
        <f t="shared" si="3"/>
        <v>0</v>
      </c>
      <c r="I17" s="6">
        <f t="shared" si="5"/>
        <v>0</v>
      </c>
      <c r="J17" s="78">
        <f t="shared" si="6"/>
        <v>0</v>
      </c>
      <c r="K17" s="80" t="s">
        <v>147</v>
      </c>
    </row>
    <row r="18" spans="1:11" x14ac:dyDescent="0.25">
      <c r="A18" s="74"/>
      <c r="B18" s="75"/>
      <c r="C18" s="195"/>
      <c r="D18" s="196"/>
      <c r="E18" s="76"/>
      <c r="F18" s="76"/>
      <c r="G18" s="77">
        <f t="shared" si="4"/>
        <v>0</v>
      </c>
      <c r="H18" s="6">
        <f t="shared" si="3"/>
        <v>0</v>
      </c>
      <c r="I18" s="6">
        <f t="shared" si="5"/>
        <v>0</v>
      </c>
      <c r="J18" s="78">
        <f t="shared" si="6"/>
        <v>0</v>
      </c>
      <c r="K18" s="211">
        <v>93760</v>
      </c>
    </row>
    <row r="19" spans="1:11" x14ac:dyDescent="0.25">
      <c r="A19" s="74"/>
      <c r="B19" s="75"/>
      <c r="C19" s="195"/>
      <c r="D19" s="196"/>
      <c r="E19" s="76"/>
      <c r="F19" s="76"/>
      <c r="G19" s="77">
        <f t="shared" si="4"/>
        <v>0</v>
      </c>
      <c r="H19" s="6">
        <f t="shared" si="3"/>
        <v>0</v>
      </c>
      <c r="I19" s="6">
        <f t="shared" si="5"/>
        <v>0</v>
      </c>
      <c r="J19" s="78">
        <f t="shared" si="6"/>
        <v>0</v>
      </c>
      <c r="K19" s="80" t="s">
        <v>148</v>
      </c>
    </row>
    <row r="20" spans="1:11" x14ac:dyDescent="0.25">
      <c r="A20" s="74"/>
      <c r="B20" s="75"/>
      <c r="C20" s="195"/>
      <c r="D20" s="196"/>
      <c r="E20" s="76"/>
      <c r="F20" s="76"/>
      <c r="G20" s="77">
        <f t="shared" si="4"/>
        <v>0</v>
      </c>
      <c r="H20" s="6">
        <f t="shared" si="3"/>
        <v>0</v>
      </c>
      <c r="I20" s="6">
        <f t="shared" si="5"/>
        <v>0</v>
      </c>
      <c r="J20" s="78">
        <f t="shared" si="6"/>
        <v>0</v>
      </c>
      <c r="K20" s="212">
        <v>98</v>
      </c>
    </row>
    <row r="21" spans="1:11" x14ac:dyDescent="0.25">
      <c r="A21" s="74"/>
      <c r="B21" s="75"/>
      <c r="C21" s="195"/>
      <c r="D21" s="196"/>
      <c r="E21" s="76"/>
      <c r="F21" s="76"/>
      <c r="G21" s="77">
        <f t="shared" si="4"/>
        <v>0</v>
      </c>
      <c r="H21" s="6">
        <f t="shared" si="3"/>
        <v>0</v>
      </c>
      <c r="I21" s="6">
        <f t="shared" si="5"/>
        <v>0</v>
      </c>
      <c r="J21" s="78">
        <f t="shared" si="6"/>
        <v>0</v>
      </c>
      <c r="K21" s="7"/>
    </row>
    <row r="22" spans="1:11" x14ac:dyDescent="0.25">
      <c r="A22" s="74"/>
      <c r="B22" s="75"/>
      <c r="C22" s="195"/>
      <c r="D22" s="196"/>
      <c r="E22" s="76"/>
      <c r="F22" s="76"/>
      <c r="G22" s="77">
        <f t="shared" si="4"/>
        <v>0</v>
      </c>
      <c r="H22" s="6">
        <f t="shared" si="3"/>
        <v>0</v>
      </c>
      <c r="I22" s="6">
        <f t="shared" si="5"/>
        <v>0</v>
      </c>
      <c r="J22" s="78">
        <f t="shared" si="6"/>
        <v>0</v>
      </c>
      <c r="K22" s="7"/>
    </row>
    <row r="23" spans="1:11" x14ac:dyDescent="0.25">
      <c r="A23" s="74"/>
      <c r="B23" s="75"/>
      <c r="C23" s="195"/>
      <c r="D23" s="196"/>
      <c r="E23" s="76"/>
      <c r="F23" s="76"/>
      <c r="G23" s="77">
        <f t="shared" si="4"/>
        <v>0</v>
      </c>
      <c r="H23" s="6">
        <f t="shared" si="3"/>
        <v>0</v>
      </c>
      <c r="I23" s="6">
        <f t="shared" si="5"/>
        <v>0</v>
      </c>
      <c r="J23" s="78">
        <f t="shared" si="6"/>
        <v>0</v>
      </c>
      <c r="K23" s="7"/>
    </row>
    <row r="24" spans="1:11" x14ac:dyDescent="0.25">
      <c r="A24" s="74"/>
      <c r="B24" s="75"/>
      <c r="C24" s="195"/>
      <c r="D24" s="196"/>
      <c r="E24" s="76"/>
      <c r="F24" s="76"/>
      <c r="G24" s="77">
        <f t="shared" si="4"/>
        <v>0</v>
      </c>
      <c r="H24" s="6">
        <f t="shared" si="3"/>
        <v>0</v>
      </c>
      <c r="I24" s="6">
        <f t="shared" si="5"/>
        <v>0</v>
      </c>
      <c r="J24" s="78">
        <f t="shared" si="6"/>
        <v>0</v>
      </c>
      <c r="K24" s="7"/>
    </row>
    <row r="25" spans="1:11" x14ac:dyDescent="0.25">
      <c r="A25" s="74"/>
      <c r="B25" s="75"/>
      <c r="C25" s="195"/>
      <c r="D25" s="196"/>
      <c r="E25" s="76"/>
      <c r="F25" s="76"/>
      <c r="G25" s="77">
        <f t="shared" si="4"/>
        <v>0</v>
      </c>
      <c r="H25" s="6">
        <f t="shared" si="3"/>
        <v>0</v>
      </c>
      <c r="I25" s="6">
        <f t="shared" si="5"/>
        <v>0</v>
      </c>
      <c r="J25" s="78">
        <f t="shared" si="6"/>
        <v>0</v>
      </c>
      <c r="K25" s="7"/>
    </row>
    <row r="26" spans="1:11" x14ac:dyDescent="0.25">
      <c r="A26" s="74"/>
      <c r="B26" s="75"/>
      <c r="C26" s="195"/>
      <c r="D26" s="196"/>
      <c r="E26" s="76"/>
      <c r="F26" s="76"/>
      <c r="G26" s="77">
        <f t="shared" si="4"/>
        <v>0</v>
      </c>
      <c r="H26" s="6">
        <f t="shared" si="3"/>
        <v>0</v>
      </c>
      <c r="I26" s="6">
        <f t="shared" si="5"/>
        <v>0</v>
      </c>
      <c r="J26" s="78">
        <f t="shared" si="6"/>
        <v>0</v>
      </c>
      <c r="K26" s="7"/>
    </row>
    <row r="27" spans="1:11" x14ac:dyDescent="0.25">
      <c r="A27" s="74"/>
      <c r="B27" s="75"/>
      <c r="C27" s="195"/>
      <c r="D27" s="196"/>
      <c r="E27" s="76"/>
      <c r="F27" s="76"/>
      <c r="G27" s="77">
        <f t="shared" si="4"/>
        <v>0</v>
      </c>
      <c r="H27" s="6">
        <f t="shared" si="3"/>
        <v>0</v>
      </c>
      <c r="I27" s="6">
        <f t="shared" si="5"/>
        <v>0</v>
      </c>
      <c r="J27" s="78">
        <f t="shared" si="6"/>
        <v>0</v>
      </c>
      <c r="K27" s="7"/>
    </row>
    <row r="28" spans="1:11" x14ac:dyDescent="0.25">
      <c r="A28" s="74"/>
      <c r="B28" s="75"/>
      <c r="C28" s="195"/>
      <c r="D28" s="196"/>
      <c r="E28" s="76"/>
      <c r="F28" s="76"/>
      <c r="G28" s="77">
        <f t="shared" si="4"/>
        <v>0</v>
      </c>
      <c r="H28" s="6">
        <f t="shared" si="3"/>
        <v>0</v>
      </c>
      <c r="I28" s="6">
        <f t="shared" si="5"/>
        <v>0</v>
      </c>
      <c r="J28" s="78">
        <f t="shared" si="6"/>
        <v>0</v>
      </c>
      <c r="K28" s="7"/>
    </row>
    <row r="29" spans="1:11" x14ac:dyDescent="0.25">
      <c r="A29" s="74"/>
      <c r="B29" s="75"/>
      <c r="C29" s="195"/>
      <c r="D29" s="196"/>
      <c r="E29" s="76"/>
      <c r="F29" s="76"/>
      <c r="G29" s="77">
        <f t="shared" si="4"/>
        <v>0</v>
      </c>
      <c r="H29" s="6">
        <f t="shared" si="3"/>
        <v>0</v>
      </c>
      <c r="I29" s="6">
        <f t="shared" si="5"/>
        <v>0</v>
      </c>
      <c r="J29" s="78">
        <f t="shared" si="6"/>
        <v>0</v>
      </c>
    </row>
    <row r="30" spans="1:11" x14ac:dyDescent="0.25">
      <c r="A30" s="74"/>
      <c r="B30" s="75"/>
      <c r="C30" s="195"/>
      <c r="D30" s="196"/>
      <c r="E30" s="76"/>
      <c r="F30" s="76"/>
      <c r="G30" s="77">
        <f t="shared" si="0"/>
        <v>0</v>
      </c>
      <c r="H30" s="6">
        <f t="shared" si="3"/>
        <v>0</v>
      </c>
      <c r="I30" s="6">
        <f t="shared" si="1"/>
        <v>0</v>
      </c>
      <c r="J30" s="78">
        <f t="shared" si="2"/>
        <v>0</v>
      </c>
    </row>
    <row r="31" spans="1:11" x14ac:dyDescent="0.25">
      <c r="A31" s="74"/>
      <c r="B31" s="75"/>
      <c r="C31" s="195"/>
      <c r="D31" s="196"/>
      <c r="E31" s="76"/>
      <c r="F31" s="76"/>
      <c r="G31" s="77">
        <f t="shared" si="0"/>
        <v>0</v>
      </c>
      <c r="H31" s="6">
        <f t="shared" si="3"/>
        <v>0</v>
      </c>
      <c r="I31" s="6">
        <f t="shared" si="1"/>
        <v>0</v>
      </c>
      <c r="J31" s="78">
        <f t="shared" si="2"/>
        <v>0</v>
      </c>
    </row>
    <row r="32" spans="1:11" x14ac:dyDescent="0.25">
      <c r="A32" s="74"/>
      <c r="B32" s="75"/>
      <c r="C32" s="195"/>
      <c r="D32" s="196"/>
      <c r="E32" s="76"/>
      <c r="F32" s="76"/>
      <c r="G32" s="77">
        <f t="shared" si="0"/>
        <v>0</v>
      </c>
      <c r="H32" s="6">
        <f t="shared" si="3"/>
        <v>0</v>
      </c>
      <c r="I32" s="6">
        <f t="shared" si="1"/>
        <v>0</v>
      </c>
      <c r="J32" s="78">
        <f t="shared" si="2"/>
        <v>0</v>
      </c>
    </row>
    <row r="33" spans="1:10" x14ac:dyDescent="0.25">
      <c r="A33" s="74"/>
      <c r="B33" s="75"/>
      <c r="C33" s="195"/>
      <c r="D33" s="196"/>
      <c r="E33" s="76"/>
      <c r="F33" s="76"/>
      <c r="G33" s="77">
        <f t="shared" si="0"/>
        <v>0</v>
      </c>
      <c r="H33" s="6">
        <f t="shared" si="3"/>
        <v>0</v>
      </c>
      <c r="I33" s="6">
        <f t="shared" si="1"/>
        <v>0</v>
      </c>
      <c r="J33" s="78">
        <f t="shared" si="2"/>
        <v>0</v>
      </c>
    </row>
    <row r="34" spans="1:10" x14ac:dyDescent="0.25">
      <c r="A34" s="74"/>
      <c r="B34" s="75"/>
      <c r="C34" s="195"/>
      <c r="D34" s="196"/>
      <c r="E34" s="76"/>
      <c r="F34" s="76"/>
      <c r="G34" s="77">
        <f t="shared" ref="G34:G48" si="7">IF(E34=0,0,IF(F34/E34&gt;0.38,SQRT(((E34*E34)+(F34*F34))/0.4),SQRT((E34*E34)+(F34*F34))))</f>
        <v>0</v>
      </c>
      <c r="H34" s="6">
        <f t="shared" si="3"/>
        <v>0</v>
      </c>
      <c r="I34" s="6">
        <f t="shared" si="1"/>
        <v>0</v>
      </c>
      <c r="J34" s="78">
        <f t="shared" si="2"/>
        <v>0</v>
      </c>
    </row>
    <row r="35" spans="1:10" x14ac:dyDescent="0.25">
      <c r="A35" s="74"/>
      <c r="B35" s="75"/>
      <c r="C35" s="195"/>
      <c r="D35" s="196"/>
      <c r="E35" s="76"/>
      <c r="F35" s="76"/>
      <c r="G35" s="77">
        <f t="shared" si="7"/>
        <v>0</v>
      </c>
      <c r="H35" s="6">
        <f t="shared" si="3"/>
        <v>0</v>
      </c>
      <c r="I35" s="6">
        <f t="shared" si="1"/>
        <v>0</v>
      </c>
      <c r="J35" s="78">
        <f t="shared" si="2"/>
        <v>0</v>
      </c>
    </row>
    <row r="36" spans="1:10" x14ac:dyDescent="0.25">
      <c r="A36" s="74"/>
      <c r="B36" s="75"/>
      <c r="C36" s="195"/>
      <c r="D36" s="196"/>
      <c r="E36" s="76"/>
      <c r="F36" s="76"/>
      <c r="G36" s="77">
        <f t="shared" si="7"/>
        <v>0</v>
      </c>
      <c r="H36" s="6">
        <f t="shared" si="3"/>
        <v>0</v>
      </c>
      <c r="I36" s="6">
        <f t="shared" si="1"/>
        <v>0</v>
      </c>
      <c r="J36" s="78">
        <f t="shared" si="2"/>
        <v>0</v>
      </c>
    </row>
    <row r="37" spans="1:10" x14ac:dyDescent="0.25">
      <c r="A37" s="74"/>
      <c r="B37" s="75"/>
      <c r="C37" s="195"/>
      <c r="D37" s="196"/>
      <c r="E37" s="76"/>
      <c r="F37" s="76"/>
      <c r="G37" s="77">
        <f t="shared" si="7"/>
        <v>0</v>
      </c>
      <c r="H37" s="6">
        <f t="shared" si="3"/>
        <v>0</v>
      </c>
      <c r="I37" s="6">
        <f t="shared" si="1"/>
        <v>0</v>
      </c>
      <c r="J37" s="78">
        <f t="shared" si="2"/>
        <v>0</v>
      </c>
    </row>
    <row r="38" spans="1:10" x14ac:dyDescent="0.25">
      <c r="A38" s="74"/>
      <c r="B38" s="75"/>
      <c r="C38" s="195"/>
      <c r="D38" s="196"/>
      <c r="E38" s="76"/>
      <c r="F38" s="76"/>
      <c r="G38" s="77">
        <f t="shared" si="7"/>
        <v>0</v>
      </c>
      <c r="H38" s="6">
        <f t="shared" si="3"/>
        <v>0</v>
      </c>
      <c r="I38" s="6">
        <f t="shared" si="1"/>
        <v>0</v>
      </c>
      <c r="J38" s="78">
        <f t="shared" si="2"/>
        <v>0</v>
      </c>
    </row>
    <row r="39" spans="1:10" x14ac:dyDescent="0.25">
      <c r="A39" s="74"/>
      <c r="B39" s="75"/>
      <c r="C39" s="195"/>
      <c r="D39" s="196"/>
      <c r="E39" s="76"/>
      <c r="F39" s="76"/>
      <c r="G39" s="77">
        <f t="shared" si="7"/>
        <v>0</v>
      </c>
      <c r="H39" s="6">
        <f t="shared" si="3"/>
        <v>0</v>
      </c>
      <c r="I39" s="6">
        <f t="shared" si="1"/>
        <v>0</v>
      </c>
      <c r="J39" s="78">
        <f t="shared" si="2"/>
        <v>0</v>
      </c>
    </row>
    <row r="40" spans="1:10" x14ac:dyDescent="0.25">
      <c r="A40" s="74"/>
      <c r="B40" s="75"/>
      <c r="C40" s="195"/>
      <c r="D40" s="196"/>
      <c r="E40" s="76"/>
      <c r="F40" s="76"/>
      <c r="G40" s="77">
        <f t="shared" si="7"/>
        <v>0</v>
      </c>
      <c r="H40" s="6">
        <f t="shared" si="3"/>
        <v>0</v>
      </c>
      <c r="I40" s="6">
        <f t="shared" si="1"/>
        <v>0</v>
      </c>
      <c r="J40" s="78">
        <f t="shared" si="2"/>
        <v>0</v>
      </c>
    </row>
    <row r="41" spans="1:10" x14ac:dyDescent="0.25">
      <c r="A41" s="74"/>
      <c r="B41" s="75"/>
      <c r="C41" s="195"/>
      <c r="D41" s="196"/>
      <c r="E41" s="76"/>
      <c r="F41" s="76"/>
      <c r="G41" s="77">
        <f t="shared" si="7"/>
        <v>0</v>
      </c>
      <c r="H41" s="6">
        <f t="shared" si="3"/>
        <v>0</v>
      </c>
      <c r="I41" s="6">
        <f t="shared" si="1"/>
        <v>0</v>
      </c>
      <c r="J41" s="78">
        <f t="shared" si="2"/>
        <v>0</v>
      </c>
    </row>
    <row r="42" spans="1:10" x14ac:dyDescent="0.25">
      <c r="A42" s="74"/>
      <c r="B42" s="75"/>
      <c r="C42" s="195"/>
      <c r="D42" s="196"/>
      <c r="E42" s="76"/>
      <c r="F42" s="76"/>
      <c r="G42" s="77">
        <f t="shared" si="7"/>
        <v>0</v>
      </c>
      <c r="H42" s="6">
        <f t="shared" si="3"/>
        <v>0</v>
      </c>
      <c r="I42" s="6">
        <f t="shared" si="1"/>
        <v>0</v>
      </c>
      <c r="J42" s="78">
        <f t="shared" si="2"/>
        <v>0</v>
      </c>
    </row>
    <row r="43" spans="1:10" x14ac:dyDescent="0.25">
      <c r="A43" s="74"/>
      <c r="B43" s="75"/>
      <c r="C43" s="195"/>
      <c r="D43" s="196"/>
      <c r="E43" s="76"/>
      <c r="F43" s="76"/>
      <c r="G43" s="77">
        <f t="shared" si="7"/>
        <v>0</v>
      </c>
      <c r="H43" s="6">
        <f t="shared" si="3"/>
        <v>0</v>
      </c>
      <c r="I43" s="6">
        <f t="shared" si="1"/>
        <v>0</v>
      </c>
      <c r="J43" s="78">
        <f t="shared" si="2"/>
        <v>0</v>
      </c>
    </row>
    <row r="44" spans="1:10" x14ac:dyDescent="0.25">
      <c r="A44" s="74"/>
      <c r="B44" s="75"/>
      <c r="C44" s="195"/>
      <c r="D44" s="196"/>
      <c r="E44" s="76"/>
      <c r="F44" s="76"/>
      <c r="G44" s="77">
        <f t="shared" si="7"/>
        <v>0</v>
      </c>
      <c r="H44" s="6">
        <f t="shared" si="3"/>
        <v>0</v>
      </c>
      <c r="I44" s="6">
        <f t="shared" si="1"/>
        <v>0</v>
      </c>
      <c r="J44" s="78">
        <f t="shared" si="2"/>
        <v>0</v>
      </c>
    </row>
    <row r="45" spans="1:10" x14ac:dyDescent="0.25">
      <c r="A45" s="74"/>
      <c r="B45" s="75"/>
      <c r="C45" s="195"/>
      <c r="D45" s="196"/>
      <c r="E45" s="76"/>
      <c r="F45" s="76"/>
      <c r="G45" s="77">
        <f t="shared" si="7"/>
        <v>0</v>
      </c>
      <c r="H45" s="6">
        <f t="shared" si="3"/>
        <v>0</v>
      </c>
      <c r="I45" s="6">
        <f t="shared" si="1"/>
        <v>0</v>
      </c>
      <c r="J45" s="78">
        <f t="shared" si="2"/>
        <v>0</v>
      </c>
    </row>
    <row r="46" spans="1:10" x14ac:dyDescent="0.25">
      <c r="A46" s="74"/>
      <c r="B46" s="75"/>
      <c r="C46" s="195"/>
      <c r="D46" s="196"/>
      <c r="E46" s="76"/>
      <c r="F46" s="76"/>
      <c r="G46" s="77">
        <f t="shared" si="7"/>
        <v>0</v>
      </c>
      <c r="H46" s="6">
        <f t="shared" si="3"/>
        <v>0</v>
      </c>
      <c r="I46" s="6">
        <f t="shared" si="1"/>
        <v>0</v>
      </c>
      <c r="J46" s="78">
        <f t="shared" si="2"/>
        <v>0</v>
      </c>
    </row>
    <row r="47" spans="1:10" x14ac:dyDescent="0.25">
      <c r="A47" s="74"/>
      <c r="B47" s="75"/>
      <c r="C47" s="195"/>
      <c r="D47" s="196"/>
      <c r="E47" s="76"/>
      <c r="F47" s="76"/>
      <c r="G47" s="77">
        <f t="shared" si="7"/>
        <v>0</v>
      </c>
      <c r="H47" s="6">
        <f t="shared" si="3"/>
        <v>0</v>
      </c>
      <c r="I47" s="6">
        <f t="shared" si="1"/>
        <v>0</v>
      </c>
      <c r="J47" s="78">
        <f t="shared" si="2"/>
        <v>0</v>
      </c>
    </row>
    <row r="48" spans="1:10" x14ac:dyDescent="0.25">
      <c r="A48" s="74"/>
      <c r="B48" s="75"/>
      <c r="C48" s="195"/>
      <c r="D48" s="196"/>
      <c r="E48" s="76"/>
      <c r="F48" s="76"/>
      <c r="G48" s="77">
        <f t="shared" si="7"/>
        <v>0</v>
      </c>
      <c r="H48" s="6">
        <f t="shared" si="3"/>
        <v>0</v>
      </c>
      <c r="I48" s="6">
        <f t="shared" si="1"/>
        <v>0</v>
      </c>
      <c r="J48" s="78">
        <f t="shared" si="2"/>
        <v>0</v>
      </c>
    </row>
    <row r="49" spans="1:10" x14ac:dyDescent="0.25">
      <c r="A49" s="74"/>
      <c r="B49" s="75"/>
      <c r="C49" s="195"/>
      <c r="D49" s="196"/>
      <c r="E49" s="76"/>
      <c r="F49" s="76"/>
      <c r="G49" s="77">
        <f t="shared" ref="G49:G50" si="8">IF(E49=0,0,IF(F49/E49&gt;0.38,SQRT(((E49*E49)+(F49*F49))/0.4),SQRT((E49*E49)+(F49*F49))))</f>
        <v>0</v>
      </c>
      <c r="H49" s="6">
        <f t="shared" si="3"/>
        <v>0</v>
      </c>
      <c r="I49" s="6">
        <f t="shared" ref="I49:I50" si="9">IF(C49="no",H49,H49*1.1)</f>
        <v>0</v>
      </c>
      <c r="J49" s="78">
        <f t="shared" ref="J49:J50" si="10">F49/0.3788</f>
        <v>0</v>
      </c>
    </row>
    <row r="50" spans="1:10" x14ac:dyDescent="0.25">
      <c r="A50" s="74"/>
      <c r="B50" s="75"/>
      <c r="C50" s="195"/>
      <c r="D50" s="196"/>
      <c r="E50" s="76"/>
      <c r="F50" s="76"/>
      <c r="G50" s="77">
        <f t="shared" si="8"/>
        <v>0</v>
      </c>
      <c r="H50" s="6">
        <f t="shared" si="3"/>
        <v>0</v>
      </c>
      <c r="I50" s="6">
        <f t="shared" si="9"/>
        <v>0</v>
      </c>
      <c r="J50" s="78">
        <f t="shared" si="10"/>
        <v>0</v>
      </c>
    </row>
    <row r="51" spans="1:10" ht="15.75" thickBot="1" x14ac:dyDescent="0.3">
      <c r="A51" s="81"/>
      <c r="B51" s="82"/>
      <c r="C51" s="195"/>
      <c r="D51" s="197"/>
      <c r="E51" s="83"/>
      <c r="F51" s="83"/>
      <c r="G51" s="77">
        <f t="shared" ref="G51" si="11">IF(E51=0,0,IF(F51/E51&gt;0.38,SQRT(((E51*E51)+(F51*F51))/0.4),SQRT((E51*E51)+(F51*F51))))</f>
        <v>0</v>
      </c>
      <c r="H51" s="6">
        <f t="shared" si="3"/>
        <v>0</v>
      </c>
      <c r="I51" s="6">
        <f t="shared" ref="I51" si="12">IF(C51="no",H51,H51*1.1)</f>
        <v>0</v>
      </c>
      <c r="J51" s="78">
        <f t="shared" ref="J51" si="13">F51/0.3788</f>
        <v>0</v>
      </c>
    </row>
    <row r="52" spans="1:10" x14ac:dyDescent="0.25">
      <c r="A52" s="292"/>
      <c r="B52" s="293"/>
      <c r="C52" s="294"/>
      <c r="D52" s="243">
        <f>SUM(D2:D51)</f>
        <v>0</v>
      </c>
      <c r="E52" s="238" t="s">
        <v>149</v>
      </c>
      <c r="F52" s="239"/>
      <c r="G52" s="84"/>
      <c r="H52" s="85"/>
    </row>
    <row r="53" spans="1:10" x14ac:dyDescent="0.25">
      <c r="A53" s="292"/>
      <c r="B53" s="293"/>
      <c r="C53" s="294"/>
      <c r="D53" s="237">
        <f>IF(D52=0,0,(SUM(I2:I51)+K18+D52*K20))</f>
        <v>0</v>
      </c>
      <c r="E53" s="240" t="s">
        <v>150</v>
      </c>
      <c r="F53" s="239"/>
      <c r="G53" s="86"/>
      <c r="H53" s="87"/>
      <c r="I53" s="87"/>
    </row>
    <row r="54" spans="1:10" x14ac:dyDescent="0.25">
      <c r="A54" s="295"/>
      <c r="B54" s="296"/>
      <c r="C54" s="297"/>
      <c r="D54" s="244">
        <f>IF(D52=0,0,D53/D52)</f>
        <v>0</v>
      </c>
      <c r="E54" s="238" t="s">
        <v>151</v>
      </c>
      <c r="F54" s="239"/>
      <c r="G54" s="86"/>
    </row>
    <row r="55" spans="1:10" ht="15.75" thickBot="1" x14ac:dyDescent="0.3">
      <c r="A55" s="298"/>
      <c r="B55" s="299"/>
      <c r="C55" s="300"/>
      <c r="D55" s="304">
        <f>IF(D52=0,0,SUMPRODUCT(G2:G51,D2:D51)/D52)</f>
        <v>0</v>
      </c>
      <c r="E55" s="241" t="s">
        <v>152</v>
      </c>
      <c r="F55" s="242"/>
      <c r="G55" s="88"/>
    </row>
    <row r="56" spans="1:10" x14ac:dyDescent="0.25">
      <c r="D56" s="89"/>
    </row>
  </sheetData>
  <sheetProtection algorithmName="SHA-512" hashValue="nicfvFCFlaLJ38vvKM9rMEPTVECfGnvoBuBpMswexjiyOxLYKI5822dFMOU34n1CLddFm320/aftkKKS60cnUg==" saltValue="Ky97Ua2fyfoKUtXsizrsng==" spinCount="100000" sheet="1" selectLockedCells="1"/>
  <phoneticPr fontId="91" type="noConversion"/>
  <printOptions gridLines="1"/>
  <pageMargins left="0.25" right="0.25" top="0.25" bottom="0.25" header="0.5" footer="0.5"/>
  <pageSetup paperSize="17" fitToHeight="4" orientation="portrait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C245B9-7AFF-4098-AE98-30E4996D7CFA}">
          <x14:formula1>
            <xm:f>'Project SV mfg'!$G$54:$G$55</xm:f>
          </x14:formula1>
          <xm:sqref>C2:C51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F37"/>
  <sheetViews>
    <sheetView zoomScale="90" zoomScaleNormal="90" workbookViewId="0">
      <selection activeCell="A100" sqref="A100"/>
    </sheetView>
  </sheetViews>
  <sheetFormatPr defaultColWidth="9.28515625" defaultRowHeight="12.75" x14ac:dyDescent="0.2"/>
  <cols>
    <col min="1" max="1" width="115.7109375" style="318" customWidth="1"/>
    <col min="2" max="3" width="24.7109375" style="318" customWidth="1"/>
    <col min="4" max="4" width="9.28515625" style="318"/>
    <col min="5" max="6" width="9.28515625" style="318" hidden="1" customWidth="1"/>
    <col min="7" max="16384" width="9.28515625" style="318"/>
  </cols>
  <sheetData>
    <row r="1" spans="1:6" ht="20.65" customHeight="1" x14ac:dyDescent="0.25">
      <c r="A1" s="317" t="s">
        <v>153</v>
      </c>
    </row>
    <row r="2" spans="1:6" ht="15" customHeight="1" x14ac:dyDescent="0.25">
      <c r="A2" s="319" t="s">
        <v>154</v>
      </c>
      <c r="B2" s="320"/>
      <c r="C2" s="320"/>
    </row>
    <row r="3" spans="1:6" ht="15" customHeight="1" x14ac:dyDescent="0.25">
      <c r="A3" s="321" t="s">
        <v>155</v>
      </c>
    </row>
    <row r="4" spans="1:6" ht="15" customHeight="1" x14ac:dyDescent="0.25">
      <c r="A4" s="322" t="s">
        <v>156</v>
      </c>
      <c r="B4" s="323" t="str">
        <f>IF('INPUT  Pg1'!C3=0,"",'INPUT  Pg1'!C3)</f>
        <v/>
      </c>
    </row>
    <row r="5" spans="1:6" ht="15" customHeight="1" x14ac:dyDescent="0.2">
      <c r="A5" s="324"/>
    </row>
    <row r="6" spans="1:6" ht="14.65" customHeight="1" x14ac:dyDescent="0.25">
      <c r="A6" s="322" t="s">
        <v>157</v>
      </c>
      <c r="B6" s="325">
        <v>0.1</v>
      </c>
      <c r="C6" s="326"/>
    </row>
    <row r="7" spans="1:6" ht="15" customHeight="1" x14ac:dyDescent="0.25">
      <c r="A7" s="322"/>
      <c r="B7" s="327"/>
    </row>
    <row r="8" spans="1:6" ht="15" customHeight="1" x14ac:dyDescent="0.25">
      <c r="B8" s="327" t="s">
        <v>158</v>
      </c>
      <c r="C8" s="327" t="s">
        <v>159</v>
      </c>
      <c r="E8" s="318" t="s">
        <v>160</v>
      </c>
    </row>
    <row r="9" spans="1:6" ht="15" customHeight="1" x14ac:dyDescent="0.25">
      <c r="A9" s="328" t="s">
        <v>439</v>
      </c>
      <c r="B9" s="325">
        <v>7.0000000000000007E-2</v>
      </c>
      <c r="C9" s="325">
        <v>7.0000000000000007E-2</v>
      </c>
      <c r="E9" s="318" t="s">
        <v>161</v>
      </c>
    </row>
    <row r="10" spans="1:6" ht="15" customHeight="1" x14ac:dyDescent="0.2">
      <c r="A10" s="329" t="s">
        <v>413</v>
      </c>
      <c r="B10" s="330"/>
      <c r="C10" s="330"/>
      <c r="F10" s="318" t="s">
        <v>162</v>
      </c>
    </row>
    <row r="11" spans="1:6" ht="15" customHeight="1" x14ac:dyDescent="0.2">
      <c r="A11" s="329" t="s">
        <v>421</v>
      </c>
      <c r="B11" s="330"/>
      <c r="C11" s="330"/>
    </row>
    <row r="12" spans="1:6" ht="15" customHeight="1" x14ac:dyDescent="0.2">
      <c r="A12" s="329" t="s">
        <v>423</v>
      </c>
      <c r="B12" s="330"/>
      <c r="C12" s="330"/>
    </row>
    <row r="13" spans="1:6" ht="15" customHeight="1" x14ac:dyDescent="0.2">
      <c r="A13" s="329" t="s">
        <v>424</v>
      </c>
      <c r="B13" s="330"/>
      <c r="C13" s="330"/>
    </row>
    <row r="14" spans="1:6" ht="15" customHeight="1" x14ac:dyDescent="0.2">
      <c r="A14" s="329" t="s">
        <v>422</v>
      </c>
      <c r="B14" s="330"/>
      <c r="C14" s="330"/>
    </row>
    <row r="15" spans="1:6" ht="15" customHeight="1" x14ac:dyDescent="0.2">
      <c r="A15" s="329"/>
      <c r="B15" s="330"/>
      <c r="C15" s="330"/>
    </row>
    <row r="16" spans="1:6" ht="15" customHeight="1" x14ac:dyDescent="0.25">
      <c r="A16" s="331" t="s">
        <v>163</v>
      </c>
      <c r="B16" s="332"/>
      <c r="C16" s="330"/>
    </row>
    <row r="17" spans="1:5" ht="15" customHeight="1" x14ac:dyDescent="0.25">
      <c r="A17" s="328" t="s">
        <v>164</v>
      </c>
      <c r="B17" s="605">
        <f>SUM(B19:B20)</f>
        <v>0</v>
      </c>
      <c r="C17" s="605">
        <f>SUM(C19:C20)</f>
        <v>0</v>
      </c>
      <c r="E17" s="318" t="s">
        <v>165</v>
      </c>
    </row>
    <row r="18" spans="1:5" ht="15" customHeight="1" x14ac:dyDescent="0.2">
      <c r="A18" s="328" t="s">
        <v>420</v>
      </c>
      <c r="B18" s="55"/>
      <c r="C18" s="56"/>
      <c r="E18" s="318" t="s">
        <v>166</v>
      </c>
    </row>
    <row r="19" spans="1:5" ht="15" customHeight="1" x14ac:dyDescent="0.2">
      <c r="A19" s="328" t="s">
        <v>414</v>
      </c>
      <c r="B19" s="55">
        <f>IF('INPUT  Pg1'!C15+'INPUT  Pg1'!C16=0,0,IF(SUM('INPUT  Pg1'!C17,'INPUT  Pg1'!C19)*('INPUT  Pg1'!C16/('INPUT  Pg1'!C15+'INPUT  Pg1'!C16))+SUM('INPUT  Pg1'!C23,'INPUT  Pg1'!C25:C25)*('INPUT  Pg1'!C15/('INPUT  Pg1'!C15+'INPUT  Pg1'!C16))&gt;0.001,0.005,0))</f>
        <v>0</v>
      </c>
      <c r="C19" s="55">
        <f>IF('INPUT  Pg1'!C15+'INPUT  Pg1'!C16=0,0,IF(SUM('INPUT  Pg1'!C17,'INPUT  Pg1'!C19)*('INPUT  Pg1'!C16/('INPUT  Pg1'!C15+'INPUT  Pg1'!C16))+SUM('INPUT  Pg1'!C23,'INPUT  Pg1'!C25:C25)*('INPUT  Pg1'!C15/('INPUT  Pg1'!C15+'INPUT  Pg1'!C16))&gt;0.001,0.005,0))</f>
        <v>0</v>
      </c>
      <c r="E19" s="333" t="s">
        <v>167</v>
      </c>
    </row>
    <row r="20" spans="1:5" ht="15" customHeight="1" x14ac:dyDescent="0.2">
      <c r="A20" s="328" t="s">
        <v>419</v>
      </c>
      <c r="B20" s="55">
        <f>IF('INPUT  Pg1'!C15+'INPUT  Pg1'!C16=0,0,IF(SUM('INPUT  Pg1'!C17,'INPUT  Pg1'!C19)*('INPUT  Pg1'!C16/('INPUT  Pg1'!C15+'INPUT  Pg1'!C16))+SUM('INPUT  Pg1'!C23,'INPUT  Pg1'!C25:C25)*('INPUT  Pg1'!C15/('INPUT  Pg1'!C15+'INPUT  Pg1'!C16))&gt;0.5,0.005,0))</f>
        <v>0</v>
      </c>
      <c r="C20" s="55">
        <f>IF('INPUT  Pg1'!C15+'INPUT  Pg1'!C16=0,0,IF(SUM('INPUT  Pg1'!C17,'INPUT  Pg1'!C19)*('INPUT  Pg1'!C16/('INPUT  Pg1'!C15+'INPUT  Pg1'!C16))+SUM('INPUT  Pg1'!C23,'INPUT  Pg1'!C25:C25)*('INPUT  Pg1'!C15/('INPUT  Pg1'!C15+'INPUT  Pg1'!C16))&gt;0.5,0.005,0))</f>
        <v>0</v>
      </c>
      <c r="E20" s="333" t="s">
        <v>168</v>
      </c>
    </row>
    <row r="21" spans="1:5" ht="15" customHeight="1" x14ac:dyDescent="0.25">
      <c r="A21" s="328" t="s">
        <v>169</v>
      </c>
      <c r="B21" s="605">
        <f>IF(AND('INPUT  Pg1'!C36&gt;0,'Notes_Tow Dist'!B26=0),"check tow dist in notes",IF('INPUT  Pg1'!C35&gt;=250,0.005,0))</f>
        <v>0</v>
      </c>
      <c r="C21" s="605">
        <f>IF(AND('INPUT  Pg1'!C36&gt;0,'Notes_Tow Dist'!B26=0),"check tow dist in notes",IF('INPUT  Pg1'!C35&gt;=250,0.005,0))</f>
        <v>0</v>
      </c>
      <c r="E21" s="326" t="s">
        <v>170</v>
      </c>
    </row>
    <row r="22" spans="1:5" ht="15" customHeight="1" x14ac:dyDescent="0.25">
      <c r="A22" s="328" t="s">
        <v>171</v>
      </c>
      <c r="B22" s="334"/>
      <c r="C22" s="334"/>
      <c r="E22" s="318" t="s">
        <v>172</v>
      </c>
    </row>
    <row r="23" spans="1:5" ht="15" customHeight="1" x14ac:dyDescent="0.25">
      <c r="A23" s="328" t="s">
        <v>415</v>
      </c>
      <c r="B23" s="334"/>
      <c r="C23" s="334"/>
      <c r="E23" s="318" t="s">
        <v>173</v>
      </c>
    </row>
    <row r="24" spans="1:5" ht="15" customHeight="1" x14ac:dyDescent="0.25">
      <c r="A24" s="328" t="s">
        <v>174</v>
      </c>
      <c r="B24" s="605">
        <f>IF(B25&lt;&gt;TRUE,"Error",B26)</f>
        <v>0</v>
      </c>
      <c r="C24" s="605">
        <f>IF(C25&lt;&gt;TRUE,"Error",C26)</f>
        <v>0</v>
      </c>
      <c r="E24" s="326" t="s">
        <v>175</v>
      </c>
    </row>
    <row r="25" spans="1:5" ht="15" customHeight="1" x14ac:dyDescent="0.2">
      <c r="A25" s="328" t="s">
        <v>176</v>
      </c>
      <c r="B25" s="335" t="b">
        <f>OR('INPUT  Pg1'!C11=7,'INPUT  Pg1'!C11=9)</f>
        <v>1</v>
      </c>
      <c r="C25" s="335" t="b">
        <f>OR('INPUT  Pg1'!C11=7,'INPUT  Pg1'!C11=9)</f>
        <v>1</v>
      </c>
      <c r="E25" s="318" t="s">
        <v>177</v>
      </c>
    </row>
    <row r="26" spans="1:5" ht="15" customHeight="1" x14ac:dyDescent="0.2">
      <c r="A26" s="328" t="s">
        <v>416</v>
      </c>
      <c r="B26" s="335">
        <f>IF('INPUT  Pg1'!C11=9,-0.01,0)</f>
        <v>0</v>
      </c>
      <c r="C26" s="335">
        <f>IF('INPUT  Pg1'!C11=9,-0.01,0)</f>
        <v>0</v>
      </c>
      <c r="E26" s="318" t="s">
        <v>178</v>
      </c>
    </row>
    <row r="27" spans="1:5" ht="15" customHeight="1" x14ac:dyDescent="0.25">
      <c r="A27" s="328" t="s">
        <v>411</v>
      </c>
      <c r="B27" s="605">
        <f>SUM(B28:B29)</f>
        <v>0</v>
      </c>
      <c r="C27" s="605">
        <f>SUM(C28:C29)</f>
        <v>0</v>
      </c>
      <c r="E27" s="318" t="s">
        <v>179</v>
      </c>
    </row>
    <row r="28" spans="1:5" ht="15" customHeight="1" x14ac:dyDescent="0.25">
      <c r="A28" s="328" t="s">
        <v>417</v>
      </c>
      <c r="B28" s="336">
        <f>IF('BY2025 Update'!D29&gt;=100,0.01,0)</f>
        <v>0</v>
      </c>
      <c r="C28" s="337">
        <f>IF('BY2025 Update'!I29&gt;=100,0.01,0)</f>
        <v>0</v>
      </c>
      <c r="E28" s="318" t="s">
        <v>180</v>
      </c>
    </row>
    <row r="29" spans="1:5" ht="15" customHeight="1" x14ac:dyDescent="0.25">
      <c r="A29" s="328" t="s">
        <v>418</v>
      </c>
      <c r="B29" s="336">
        <f>IF('BY2025 Update'!D29&lt;=-100,-0.01,0)</f>
        <v>0</v>
      </c>
      <c r="C29" s="337">
        <f>IF('BY2025 Update'!I29&lt;=-100,-0.01,0)</f>
        <v>0</v>
      </c>
      <c r="E29" s="318" t="s">
        <v>181</v>
      </c>
    </row>
    <row r="30" spans="1:5" ht="15" customHeight="1" x14ac:dyDescent="0.2">
      <c r="A30" s="338" t="s">
        <v>182</v>
      </c>
      <c r="B30" s="606">
        <f>B6+B9+B17+B21+B24+B27</f>
        <v>0.17</v>
      </c>
      <c r="C30" s="606">
        <f>B6+C9+C17+C21+C24+C27</f>
        <v>0.17</v>
      </c>
    </row>
    <row r="31" spans="1:5" ht="15" customHeight="1" x14ac:dyDescent="0.25">
      <c r="A31" s="339" t="s">
        <v>183</v>
      </c>
      <c r="B31" s="340">
        <f>B30/(1+B30)</f>
        <v>0.14529914529914531</v>
      </c>
      <c r="C31" s="340">
        <f>C30/(1+C30)</f>
        <v>0.14529914529914531</v>
      </c>
    </row>
    <row r="32" spans="1:5" ht="15" customHeight="1" x14ac:dyDescent="0.2"/>
    <row r="33" spans="1:2" ht="15" customHeight="1" x14ac:dyDescent="0.2"/>
    <row r="34" spans="1:2" ht="15" customHeight="1" x14ac:dyDescent="0.2"/>
    <row r="35" spans="1:2" ht="15" customHeight="1" x14ac:dyDescent="0.2">
      <c r="B35" s="43"/>
    </row>
    <row r="36" spans="1:2" ht="15" x14ac:dyDescent="0.25">
      <c r="A36" s="341"/>
    </row>
    <row r="37" spans="1:2" x14ac:dyDescent="0.2">
      <c r="A37" s="326"/>
    </row>
  </sheetData>
  <sheetProtection algorithmName="SHA-512" hashValue="+Q77uBah+LhFdcDfuqJnFhEgRREUhQUdo7htaNclNVSiFMhf0DRap03QFcpSrlsDcfSWgBT1Z/yN4O854ALFbw==" saltValue="e7+/SjreFZIM4zdg4x2/Yw==" spinCount="100000" sheet="1" selectLockedCells="1" selectUnlockedCells="1"/>
  <dataValidations disablePrompts="1" count="2">
    <dataValidation operator="lessThanOrEqual" allowBlank="1" showInputMessage="1" showErrorMessage="1" error="P&amp;R is outside of established range." sqref="B30:C30" xr:uid="{00000000-0002-0000-0200-000000000000}"/>
    <dataValidation allowBlank="1" showInputMessage="1" showErrorMessage="1" error="Please select P&amp;R adjustment from list" sqref="B6:B7" xr:uid="{00000000-0002-0000-0200-000001000000}"/>
  </dataValidations>
  <printOptions gridLines="1"/>
  <pageMargins left="0.7" right="0.7" top="0.75" bottom="0.75" header="0.3" footer="0.3"/>
  <pageSetup paperSize="3" fitToHeight="0" orientation="landscape" r:id="rId1"/>
  <ignoredErrors>
    <ignoredError sqref="C2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N45"/>
  <sheetViews>
    <sheetView zoomScale="90" zoomScaleNormal="90" workbookViewId="0">
      <selection activeCell="A100" sqref="A100"/>
    </sheetView>
  </sheetViews>
  <sheetFormatPr defaultColWidth="9.7109375" defaultRowHeight="10.5" x14ac:dyDescent="0.15"/>
  <cols>
    <col min="1" max="1" width="6.7109375" style="43" customWidth="1"/>
    <col min="2" max="2" width="67.28515625" style="43" customWidth="1"/>
    <col min="3" max="8" width="13.42578125" style="43" customWidth="1"/>
    <col min="9" max="9" width="13.7109375" style="43" customWidth="1"/>
    <col min="10" max="10" width="12" style="43" customWidth="1"/>
    <col min="11" max="11" width="13.28515625" style="43" customWidth="1"/>
    <col min="12" max="12" width="9.42578125" style="43" customWidth="1"/>
    <col min="13" max="16384" width="9.7109375" style="43"/>
  </cols>
  <sheetData>
    <row r="1" spans="1:13" s="349" customFormat="1" ht="30" customHeight="1" x14ac:dyDescent="0.25">
      <c r="A1" s="342"/>
      <c r="B1" s="343" t="s">
        <v>429</v>
      </c>
      <c r="C1" s="344" t="s">
        <v>184</v>
      </c>
      <c r="D1" s="345" t="s">
        <v>185</v>
      </c>
      <c r="E1" s="346" t="s">
        <v>111</v>
      </c>
      <c r="F1" s="346" t="s">
        <v>115</v>
      </c>
      <c r="G1" s="346" t="s">
        <v>118</v>
      </c>
      <c r="H1" s="347"/>
      <c r="I1" s="348"/>
      <c r="J1" s="348"/>
    </row>
    <row r="2" spans="1:13" ht="18" customHeight="1" x14ac:dyDescent="0.25">
      <c r="A2" s="350"/>
      <c r="B2" s="351" t="s">
        <v>186</v>
      </c>
      <c r="C2" s="352" t="s">
        <v>187</v>
      </c>
      <c r="D2" s="352" t="s">
        <v>188</v>
      </c>
      <c r="E2" s="352" t="s">
        <v>189</v>
      </c>
      <c r="F2" s="352" t="s">
        <v>190</v>
      </c>
      <c r="G2" s="352">
        <v>242</v>
      </c>
      <c r="H2" s="353" t="s">
        <v>191</v>
      </c>
    </row>
    <row r="3" spans="1:13" ht="16.149999999999999" customHeight="1" x14ac:dyDescent="0.2">
      <c r="A3" s="350"/>
      <c r="B3" s="354" t="s">
        <v>430</v>
      </c>
      <c r="C3" s="355">
        <v>2388.41</v>
      </c>
      <c r="D3" s="355">
        <v>510.72</v>
      </c>
      <c r="E3" s="355">
        <v>510.72</v>
      </c>
      <c r="F3" s="356">
        <v>0</v>
      </c>
      <c r="G3" s="355">
        <v>1799.78</v>
      </c>
      <c r="H3" s="357"/>
      <c r="L3" s="358"/>
    </row>
    <row r="4" spans="1:13" ht="16.149999999999999" customHeight="1" x14ac:dyDescent="0.2">
      <c r="A4" s="350"/>
      <c r="B4" s="354" t="s">
        <v>431</v>
      </c>
      <c r="C4" s="356">
        <v>1868.52</v>
      </c>
      <c r="D4" s="359">
        <v>526.33000000000004</v>
      </c>
      <c r="E4" s="359">
        <v>526.33000000000004</v>
      </c>
      <c r="F4" s="359">
        <v>708.62</v>
      </c>
      <c r="G4" s="356">
        <v>1440.74</v>
      </c>
      <c r="H4" s="357"/>
      <c r="L4" s="358"/>
    </row>
    <row r="5" spans="1:13" ht="16.149999999999999" customHeight="1" x14ac:dyDescent="0.2">
      <c r="A5" s="360"/>
      <c r="B5" s="361" t="s">
        <v>432</v>
      </c>
      <c r="C5" s="362">
        <f>C7/C3</f>
        <v>1.0015993903894223</v>
      </c>
      <c r="D5" s="362">
        <f>D7/D3</f>
        <v>0.97981281328320802</v>
      </c>
      <c r="E5" s="362">
        <f t="shared" ref="E5:E10" si="0">D5</f>
        <v>0.97981281328320802</v>
      </c>
      <c r="F5" s="363"/>
      <c r="G5" s="362">
        <f>G7/G3</f>
        <v>1.0216748713731678</v>
      </c>
      <c r="H5" s="363"/>
      <c r="K5" s="364"/>
      <c r="L5" s="358"/>
    </row>
    <row r="6" spans="1:13" ht="16.149999999999999" customHeight="1" x14ac:dyDescent="0.2">
      <c r="A6" s="360"/>
      <c r="B6" s="354" t="s">
        <v>433</v>
      </c>
      <c r="C6" s="365">
        <f>C8/C4</f>
        <v>1.0186564767837647</v>
      </c>
      <c r="D6" s="366">
        <f>D8/D4</f>
        <v>1.0056998461041551</v>
      </c>
      <c r="E6" s="366">
        <f t="shared" si="0"/>
        <v>1.0056998461041551</v>
      </c>
      <c r="F6" s="367">
        <f>F8/F4</f>
        <v>1.0451723067370382</v>
      </c>
      <c r="G6" s="368">
        <f>G8/G4</f>
        <v>1.0227591376653664</v>
      </c>
      <c r="H6" s="369"/>
      <c r="L6" s="358"/>
    </row>
    <row r="7" spans="1:13" ht="19.5" customHeight="1" x14ac:dyDescent="0.25">
      <c r="A7" s="350"/>
      <c r="B7" s="370" t="s">
        <v>434</v>
      </c>
      <c r="C7" s="371">
        <v>2392.23</v>
      </c>
      <c r="D7" s="371">
        <v>500.41</v>
      </c>
      <c r="E7" s="371">
        <f t="shared" si="0"/>
        <v>500.41</v>
      </c>
      <c r="F7" s="372">
        <v>0</v>
      </c>
      <c r="G7" s="371">
        <v>1838.79</v>
      </c>
      <c r="H7" s="373"/>
      <c r="J7" s="358"/>
      <c r="L7" s="358"/>
    </row>
    <row r="8" spans="1:13" ht="19.5" customHeight="1" x14ac:dyDescent="0.25">
      <c r="A8" s="350"/>
      <c r="B8" s="374" t="s">
        <v>435</v>
      </c>
      <c r="C8" s="372">
        <v>1903.38</v>
      </c>
      <c r="D8" s="371">
        <v>529.33000000000004</v>
      </c>
      <c r="E8" s="371">
        <f t="shared" si="0"/>
        <v>529.33000000000004</v>
      </c>
      <c r="F8" s="371">
        <v>740.63</v>
      </c>
      <c r="G8" s="372">
        <v>1473.53</v>
      </c>
      <c r="H8" s="373"/>
      <c r="L8" s="358"/>
    </row>
    <row r="9" spans="1:13" ht="19.5" customHeight="1" x14ac:dyDescent="0.25">
      <c r="A9" s="350"/>
      <c r="B9" s="370" t="s">
        <v>436</v>
      </c>
      <c r="C9" s="375">
        <v>319.86</v>
      </c>
      <c r="D9" s="375">
        <v>282.47000000000003</v>
      </c>
      <c r="E9" s="375">
        <f t="shared" si="0"/>
        <v>282.47000000000003</v>
      </c>
      <c r="F9" s="376"/>
      <c r="G9" s="375">
        <v>510.94</v>
      </c>
      <c r="H9" s="375">
        <f>AVERAGE(C9:G9)</f>
        <v>348.935</v>
      </c>
      <c r="L9" s="358"/>
    </row>
    <row r="10" spans="1:13" ht="19.5" customHeight="1" x14ac:dyDescent="0.25">
      <c r="A10" s="350"/>
      <c r="B10" s="370" t="s">
        <v>437</v>
      </c>
      <c r="C10" s="377">
        <v>133.52000000000001</v>
      </c>
      <c r="D10" s="378">
        <v>116.16</v>
      </c>
      <c r="E10" s="378">
        <f t="shared" si="0"/>
        <v>116.16</v>
      </c>
      <c r="F10" s="378">
        <f>C10</f>
        <v>133.52000000000001</v>
      </c>
      <c r="G10" s="378">
        <f>C10</f>
        <v>133.52000000000001</v>
      </c>
      <c r="H10" s="375">
        <f>AVERAGE(D10:G10)</f>
        <v>124.84</v>
      </c>
      <c r="L10" s="358"/>
    </row>
    <row r="11" spans="1:13" x14ac:dyDescent="0.15">
      <c r="C11" s="379"/>
      <c r="D11" s="380"/>
      <c r="E11" s="380"/>
      <c r="F11" s="380"/>
      <c r="G11" s="381"/>
      <c r="H11" s="380"/>
      <c r="I11" s="380"/>
      <c r="J11" s="382"/>
      <c r="M11" s="358"/>
    </row>
    <row r="12" spans="1:13" ht="15.4" customHeight="1" x14ac:dyDescent="0.2">
      <c r="B12" s="383" t="s">
        <v>192</v>
      </c>
      <c r="C12" s="46"/>
      <c r="D12" s="384"/>
      <c r="E12" s="384"/>
      <c r="F12" s="46"/>
      <c r="G12" s="46"/>
      <c r="H12" s="384"/>
      <c r="I12" s="384"/>
    </row>
    <row r="13" spans="1:13" ht="13.9" customHeight="1" x14ac:dyDescent="0.2">
      <c r="B13" s="383" t="s">
        <v>193</v>
      </c>
      <c r="C13" s="46"/>
      <c r="D13" s="46"/>
      <c r="E13" s="385"/>
      <c r="F13" s="46"/>
      <c r="G13" s="46"/>
      <c r="H13" s="46"/>
      <c r="I13" s="385"/>
    </row>
    <row r="14" spans="1:13" ht="13.15" customHeight="1" x14ac:dyDescent="0.2">
      <c r="B14" s="383" t="s">
        <v>194</v>
      </c>
      <c r="C14" s="46"/>
      <c r="D14" s="46"/>
      <c r="E14" s="46"/>
      <c r="F14" s="46"/>
      <c r="G14" s="386"/>
      <c r="H14" s="46"/>
      <c r="I14" s="46"/>
    </row>
    <row r="15" spans="1:13" ht="11.25" hidden="1" customHeight="1" x14ac:dyDescent="0.2">
      <c r="B15" s="383"/>
      <c r="C15" s="387"/>
      <c r="D15" s="387"/>
      <c r="E15" s="387"/>
      <c r="F15" s="387"/>
      <c r="G15" s="387"/>
      <c r="H15" s="387"/>
      <c r="I15" s="387"/>
    </row>
    <row r="16" spans="1:13" s="98" customFormat="1" ht="11.25" hidden="1" customHeight="1" x14ac:dyDescent="0.2">
      <c r="A16" s="256"/>
      <c r="B16" s="354" t="s">
        <v>195</v>
      </c>
      <c r="C16" s="388">
        <f>'P&amp;R'!B30</f>
        <v>0.17</v>
      </c>
      <c r="D16" s="388">
        <f>'P&amp;R'!B30</f>
        <v>0.17</v>
      </c>
      <c r="E16" s="388">
        <f>'P&amp;R'!B30</f>
        <v>0.17</v>
      </c>
      <c r="F16" s="389">
        <f>'P&amp;R'!B30</f>
        <v>0.17</v>
      </c>
      <c r="G16" s="390">
        <f>'P&amp;R'!B30</f>
        <v>0.17</v>
      </c>
      <c r="H16" s="391"/>
      <c r="I16" s="392"/>
    </row>
    <row r="17" spans="1:14" s="98" customFormat="1" ht="11.25" hidden="1" customHeight="1" x14ac:dyDescent="0.2">
      <c r="A17" s="256"/>
      <c r="B17" s="354" t="s">
        <v>196</v>
      </c>
      <c r="C17" s="388">
        <f>'P&amp;R'!C30</f>
        <v>0.17</v>
      </c>
      <c r="D17" s="388">
        <f>'P&amp;R'!C30</f>
        <v>0.17</v>
      </c>
      <c r="E17" s="388">
        <f>'P&amp;R'!C30</f>
        <v>0.17</v>
      </c>
      <c r="F17" s="388">
        <f>'P&amp;R'!C30</f>
        <v>0.17</v>
      </c>
      <c r="G17" s="393">
        <f>'P&amp;R'!C30</f>
        <v>0.17</v>
      </c>
      <c r="H17" s="394"/>
      <c r="I17" s="395"/>
    </row>
    <row r="18" spans="1:14" s="98" customFormat="1" ht="11.25" hidden="1" customHeight="1" x14ac:dyDescent="0.2">
      <c r="A18" s="256"/>
      <c r="B18" s="42" t="s">
        <v>197</v>
      </c>
      <c r="C18" s="396"/>
      <c r="D18" s="397"/>
      <c r="E18" s="397"/>
      <c r="F18" s="397"/>
      <c r="G18" s="397"/>
      <c r="H18" s="398">
        <f>'2400-17_RV'!H27</f>
        <v>0</v>
      </c>
      <c r="I18" s="399"/>
      <c r="J18" s="399"/>
    </row>
    <row r="19" spans="1:14" s="98" customFormat="1" ht="11.25" hidden="1" customHeight="1" x14ac:dyDescent="0.2">
      <c r="A19" s="256"/>
      <c r="B19" s="256"/>
      <c r="C19" s="400"/>
      <c r="D19" s="400"/>
      <c r="E19" s="401"/>
      <c r="F19" s="400"/>
      <c r="G19" s="401"/>
      <c r="H19" s="401"/>
      <c r="I19" s="401"/>
    </row>
    <row r="20" spans="1:14" s="98" customFormat="1" ht="11.25" hidden="1" customHeight="1" x14ac:dyDescent="0.2">
      <c r="A20" s="402" t="s">
        <v>198</v>
      </c>
      <c r="B20" s="403" t="s">
        <v>199</v>
      </c>
      <c r="C20" s="403" t="s">
        <v>200</v>
      </c>
      <c r="D20" s="404" t="s">
        <v>201</v>
      </c>
      <c r="E20" s="404" t="s">
        <v>202</v>
      </c>
      <c r="F20" s="405" t="s">
        <v>203</v>
      </c>
      <c r="G20" s="402" t="s">
        <v>204</v>
      </c>
      <c r="H20" s="404" t="s">
        <v>205</v>
      </c>
      <c r="I20" s="404" t="s">
        <v>206</v>
      </c>
      <c r="J20" s="404" t="s">
        <v>207</v>
      </c>
      <c r="K20" s="406" t="s">
        <v>208</v>
      </c>
    </row>
    <row r="21" spans="1:14" s="98" customFormat="1" ht="11.25" hidden="1" customHeight="1" x14ac:dyDescent="0.2">
      <c r="A21" s="407">
        <f>'INPUT  Pg1'!D54*'INPUT  Pg1'!F54</f>
        <v>0</v>
      </c>
      <c r="B21" s="408" t="str">
        <f>'INPUT  Pg1'!B54</f>
        <v>OG SS 18.0+ DIB sawlog</v>
      </c>
      <c r="C21" s="409">
        <v>1</v>
      </c>
      <c r="D21" s="410">
        <f>$C$3*$C$5*C21*A21</f>
        <v>0</v>
      </c>
      <c r="E21" s="411">
        <v>1</v>
      </c>
      <c r="F21" s="410">
        <f>IF('INPUT  Pg1'!C9="YES",$C$9*E21*A21,($C$9-19.23)*E21*A21)</f>
        <v>0</v>
      </c>
      <c r="G21" s="407">
        <f>'INPUT  Pg1'!D54*'INPUT  Pg1'!G54</f>
        <v>0</v>
      </c>
      <c r="H21" s="409">
        <v>1</v>
      </c>
      <c r="I21" s="412">
        <f>$C$4*$C$6*H21*G21</f>
        <v>0</v>
      </c>
      <c r="J21" s="413">
        <v>1</v>
      </c>
      <c r="K21" s="410">
        <f>$C$10*J21*G21</f>
        <v>0</v>
      </c>
    </row>
    <row r="22" spans="1:14" s="98" customFormat="1" ht="11.25" hidden="1" customHeight="1" x14ac:dyDescent="0.2">
      <c r="A22" s="407">
        <f>'INPUT  Pg1'!D55*'INPUT  Pg1'!F55</f>
        <v>0</v>
      </c>
      <c r="B22" s="408" t="str">
        <f>'INPUT  Pg1'!B55</f>
        <v>OG SS &lt;18.0 DIB sawlog</v>
      </c>
      <c r="C22" s="409">
        <v>1</v>
      </c>
      <c r="D22" s="410">
        <f>$D$3*$D$5*C22*A22</f>
        <v>0</v>
      </c>
      <c r="E22" s="411">
        <v>1</v>
      </c>
      <c r="F22" s="410">
        <f>IF('INPUT  Pg1'!C9="YES",$D$9*E22*A22,($D$9-17.93)*E22*A22)</f>
        <v>0</v>
      </c>
      <c r="G22" s="414">
        <f>'INPUT  Pg1'!D55*'INPUT  Pg1'!G55</f>
        <v>0</v>
      </c>
      <c r="H22" s="409">
        <v>1</v>
      </c>
      <c r="I22" s="412">
        <f>$D$4*$D$6*H22*G22</f>
        <v>0</v>
      </c>
      <c r="J22" s="413">
        <v>1</v>
      </c>
      <c r="K22" s="410">
        <f>$D$10*J22*G22</f>
        <v>0</v>
      </c>
    </row>
    <row r="23" spans="1:14" s="98" customFormat="1" ht="11.25" hidden="1" customHeight="1" x14ac:dyDescent="0.2">
      <c r="A23" s="407">
        <f>'INPUT  Pg1'!D56*'INPUT  Pg1'!F56</f>
        <v>0</v>
      </c>
      <c r="B23" s="408" t="str">
        <f>'INPUT  Pg1'!B56</f>
        <v>YG SS All DIB sawlog</v>
      </c>
      <c r="C23" s="409">
        <v>1</v>
      </c>
      <c r="D23" s="410">
        <f>$D$3*$D$5*C23*A23</f>
        <v>0</v>
      </c>
      <c r="E23" s="409">
        <v>1</v>
      </c>
      <c r="F23" s="410">
        <f>IF('INPUT  Pg1'!C9="YES",$D$9*E23*A23,($D$9-17.93)*E23*A23)</f>
        <v>0</v>
      </c>
      <c r="G23" s="414">
        <f>'INPUT  Pg1'!D56*'INPUT  Pg1'!G56</f>
        <v>0</v>
      </c>
      <c r="H23" s="409">
        <v>1</v>
      </c>
      <c r="I23" s="412">
        <f>$D$4*$D$6*H23*G23</f>
        <v>0</v>
      </c>
      <c r="J23" s="413">
        <v>1</v>
      </c>
      <c r="K23" s="410">
        <f>$D$10*J23*G23</f>
        <v>0</v>
      </c>
    </row>
    <row r="24" spans="1:14" s="98" customFormat="1" ht="11.25" hidden="1" customHeight="1" x14ac:dyDescent="0.2">
      <c r="A24" s="407">
        <f>'INPUT  Pg1'!D57*'INPUT  Pg1'!F57+'INPUT  Pg1'!D58*'INPUT  Pg1'!F58</f>
        <v>0</v>
      </c>
      <c r="B24" s="408" t="s">
        <v>398</v>
      </c>
      <c r="C24" s="409">
        <v>1</v>
      </c>
      <c r="D24" s="410">
        <f>$E$3*$E$5*C24*A24</f>
        <v>0</v>
      </c>
      <c r="E24" s="409">
        <v>1</v>
      </c>
      <c r="F24" s="410">
        <f>IF('INPUT  Pg1'!C9="YES",$E$9*E24*A24,($E$9-17.93)*E24*A24)</f>
        <v>0</v>
      </c>
      <c r="G24" s="407">
        <f>'INPUT  Pg1'!D57*'INPUT  Pg1'!G57+'INPUT  Pg1'!D58*'INPUT  Pg1'!G58</f>
        <v>0</v>
      </c>
      <c r="H24" s="409">
        <v>1</v>
      </c>
      <c r="I24" s="410">
        <f>$E$4*$E$6*H24*G24</f>
        <v>0</v>
      </c>
      <c r="J24" s="413">
        <v>1</v>
      </c>
      <c r="K24" s="410">
        <f>$E$10*J24*G24</f>
        <v>0</v>
      </c>
      <c r="M24" s="415"/>
    </row>
    <row r="25" spans="1:14" s="98" customFormat="1" ht="11.25" hidden="1" customHeight="1" x14ac:dyDescent="0.2">
      <c r="A25" s="407">
        <f>'INPUT  Pg1'!D59*'INPUT  Pg1'!F59</f>
        <v>0</v>
      </c>
      <c r="B25" s="408" t="str">
        <f>'INPUT  Pg1'!B59</f>
        <v>AYC All DIB sawlog</v>
      </c>
      <c r="C25" s="98">
        <v>0</v>
      </c>
      <c r="D25" s="410">
        <f>$F$3*$F$5*C25*A25</f>
        <v>0</v>
      </c>
      <c r="E25" s="98">
        <v>0</v>
      </c>
      <c r="F25" s="410">
        <f>IF('INPUT  Pg1'!C9="YES",$F$9*E25*A25,($F$9-18.6)*E25*A25)</f>
        <v>0</v>
      </c>
      <c r="G25" s="407">
        <f>'INPUT  Pg1'!D59*'INPUT  Pg1'!G59</f>
        <v>0</v>
      </c>
      <c r="H25" s="409">
        <v>1</v>
      </c>
      <c r="I25" s="410">
        <f>$F$4*$F$6*H25*G25</f>
        <v>0</v>
      </c>
      <c r="J25" s="413">
        <v>1</v>
      </c>
      <c r="K25" s="412">
        <f>$F$10*J25*G25</f>
        <v>0</v>
      </c>
      <c r="M25" s="416"/>
      <c r="N25" s="417"/>
    </row>
    <row r="26" spans="1:14" s="98" customFormat="1" ht="11.25" hidden="1" customHeight="1" x14ac:dyDescent="0.2">
      <c r="A26" s="418">
        <f>'INPUT  Pg1'!D60*'INPUT  Pg1'!F60</f>
        <v>0</v>
      </c>
      <c r="B26" s="408" t="str">
        <f>'INPUT  Pg1'!B60</f>
        <v>WRC  All DIB sawlog</v>
      </c>
      <c r="C26" s="419">
        <v>1</v>
      </c>
      <c r="D26" s="420">
        <f>$G$3*$G$5*C26*A26</f>
        <v>0</v>
      </c>
      <c r="E26" s="421">
        <v>1</v>
      </c>
      <c r="F26" s="420">
        <f>IF('INPUT  Pg1'!C9="YES",$G$9*E26*A26,($G$9-19.11)*E26*A26)</f>
        <v>0</v>
      </c>
      <c r="G26" s="418">
        <f>'INPUT  Pg1'!D60*'INPUT  Pg1'!G60</f>
        <v>0</v>
      </c>
      <c r="H26" s="419">
        <v>1</v>
      </c>
      <c r="I26" s="420">
        <f>$G$4*$G$6*H26*G26</f>
        <v>0</v>
      </c>
      <c r="J26" s="422">
        <v>1</v>
      </c>
      <c r="K26" s="420">
        <f>$G$10*J26*G26</f>
        <v>0</v>
      </c>
    </row>
    <row r="27" spans="1:14" s="98" customFormat="1" ht="11.25" hidden="1" customHeight="1" x14ac:dyDescent="0.2">
      <c r="A27" s="423">
        <f>SUM(A21:A26)</f>
        <v>0</v>
      </c>
      <c r="C27" s="413" t="s">
        <v>209</v>
      </c>
      <c r="D27" s="424">
        <f>SUM(D21:D26)</f>
        <v>0</v>
      </c>
      <c r="E27" s="411"/>
      <c r="F27" s="410"/>
      <c r="G27" s="425">
        <f>SUM(G21:G26)</f>
        <v>0</v>
      </c>
      <c r="H27" s="426" t="str">
        <f>C27</f>
        <v>Current Qtr</v>
      </c>
      <c r="I27" s="427">
        <f>SUM(I21:I26)</f>
        <v>0</v>
      </c>
      <c r="J27" s="413"/>
      <c r="K27" s="428"/>
    </row>
    <row r="28" spans="1:14" s="98" customFormat="1" ht="11.25" hidden="1" customHeight="1" x14ac:dyDescent="0.2">
      <c r="C28" s="409"/>
      <c r="D28" s="429">
        <f>IF(D27=0,0,D27/A27)</f>
        <v>0</v>
      </c>
      <c r="F28" s="409"/>
      <c r="I28" s="430">
        <f>IF(I27=0,0,I27/G27)</f>
        <v>0</v>
      </c>
      <c r="K28" s="431"/>
    </row>
    <row r="29" spans="1:14" s="98" customFormat="1" ht="11.25" hidden="1" customHeight="1" x14ac:dyDescent="0.2">
      <c r="B29" s="432" t="s">
        <v>210</v>
      </c>
      <c r="C29" s="433" t="s">
        <v>211</v>
      </c>
      <c r="D29" s="434">
        <f>D28-D39</f>
        <v>0</v>
      </c>
      <c r="F29" s="409"/>
      <c r="H29" s="435" t="s">
        <v>212</v>
      </c>
      <c r="I29" s="436">
        <f>I28-I39</f>
        <v>0</v>
      </c>
      <c r="J29" s="437"/>
      <c r="K29" s="431"/>
    </row>
    <row r="30" spans="1:14" s="438" customFormat="1" ht="11.25" hidden="1" customHeight="1" x14ac:dyDescent="0.2"/>
    <row r="31" spans="1:14" s="438" customFormat="1" ht="11.25" hidden="1" customHeight="1" x14ac:dyDescent="0.2">
      <c r="A31" s="439" t="s">
        <v>198</v>
      </c>
      <c r="B31" s="440" t="s">
        <v>199</v>
      </c>
      <c r="C31" s="440" t="s">
        <v>200</v>
      </c>
      <c r="D31" s="441" t="s">
        <v>213</v>
      </c>
      <c r="E31" s="442"/>
      <c r="F31" s="442"/>
      <c r="G31" s="439" t="s">
        <v>204</v>
      </c>
      <c r="H31" s="439" t="s">
        <v>214</v>
      </c>
      <c r="I31" s="404" t="s">
        <v>215</v>
      </c>
      <c r="J31" s="439"/>
      <c r="K31" s="439"/>
    </row>
    <row r="32" spans="1:14" s="438" customFormat="1" ht="11.25" hidden="1" customHeight="1" x14ac:dyDescent="0.2">
      <c r="A32" s="443">
        <f t="shared" ref="A32:B37" si="1">A21</f>
        <v>0</v>
      </c>
      <c r="B32" s="408" t="str">
        <f>B21</f>
        <v>OG SS 18.0+ DIB sawlog</v>
      </c>
      <c r="C32" s="444">
        <f t="shared" ref="C32:C37" si="2">C21</f>
        <v>1</v>
      </c>
      <c r="D32" s="445">
        <f>$C$3*C32*A32</f>
        <v>0</v>
      </c>
      <c r="E32" s="444"/>
      <c r="F32" s="445"/>
      <c r="G32" s="443">
        <f t="shared" ref="G32:G37" si="3">G21</f>
        <v>0</v>
      </c>
      <c r="H32" s="444">
        <v>1</v>
      </c>
      <c r="I32" s="446">
        <f>$C$4*H32*G32</f>
        <v>0</v>
      </c>
      <c r="J32" s="444"/>
      <c r="K32" s="446"/>
    </row>
    <row r="33" spans="1:11" s="438" customFormat="1" ht="11.25" hidden="1" customHeight="1" x14ac:dyDescent="0.2">
      <c r="A33" s="443">
        <f t="shared" si="1"/>
        <v>0</v>
      </c>
      <c r="B33" s="408" t="str">
        <f t="shared" si="1"/>
        <v>OG SS &lt;18.0 DIB sawlog</v>
      </c>
      <c r="C33" s="444">
        <f t="shared" si="2"/>
        <v>1</v>
      </c>
      <c r="D33" s="445">
        <f>$D$3*C33*A33</f>
        <v>0</v>
      </c>
      <c r="E33" s="444"/>
      <c r="F33" s="445"/>
      <c r="G33" s="443">
        <f t="shared" si="3"/>
        <v>0</v>
      </c>
      <c r="H33" s="444">
        <v>1</v>
      </c>
      <c r="I33" s="446">
        <f>$D$4*H33*G33</f>
        <v>0</v>
      </c>
      <c r="J33" s="444"/>
      <c r="K33" s="446"/>
    </row>
    <row r="34" spans="1:11" s="438" customFormat="1" ht="11.25" hidden="1" customHeight="1" x14ac:dyDescent="0.2">
      <c r="A34" s="443">
        <f t="shared" si="1"/>
        <v>0</v>
      </c>
      <c r="B34" s="408" t="str">
        <f t="shared" si="1"/>
        <v>YG SS All DIB sawlog</v>
      </c>
      <c r="C34" s="444">
        <f t="shared" si="2"/>
        <v>1</v>
      </c>
      <c r="D34" s="445">
        <f>$D$3*C34*A34</f>
        <v>0</v>
      </c>
      <c r="E34" s="444"/>
      <c r="F34" s="445"/>
      <c r="G34" s="443">
        <f t="shared" si="3"/>
        <v>0</v>
      </c>
      <c r="H34" s="444">
        <v>1</v>
      </c>
      <c r="I34" s="446">
        <f>$D$4*H34*G34</f>
        <v>0</v>
      </c>
      <c r="J34" s="444"/>
      <c r="K34" s="446"/>
    </row>
    <row r="35" spans="1:11" s="438" customFormat="1" ht="11.25" hidden="1" customHeight="1" x14ac:dyDescent="0.2">
      <c r="A35" s="443">
        <f t="shared" si="1"/>
        <v>0</v>
      </c>
      <c r="B35" s="408" t="str">
        <f t="shared" si="1"/>
        <v>OG &amp; YG Hem All DIB sawlog</v>
      </c>
      <c r="C35" s="444">
        <f t="shared" si="2"/>
        <v>1</v>
      </c>
      <c r="D35" s="445">
        <f>$E$3*C35*A35</f>
        <v>0</v>
      </c>
      <c r="E35" s="444"/>
      <c r="F35" s="445"/>
      <c r="G35" s="443">
        <f t="shared" si="3"/>
        <v>0</v>
      </c>
      <c r="H35" s="444">
        <v>1</v>
      </c>
      <c r="I35" s="445">
        <f>$E$4*H35*G35</f>
        <v>0</v>
      </c>
      <c r="J35" s="444"/>
      <c r="K35" s="446"/>
    </row>
    <row r="36" spans="1:11" s="438" customFormat="1" ht="11.25" hidden="1" customHeight="1" x14ac:dyDescent="0.2">
      <c r="A36" s="443">
        <f t="shared" si="1"/>
        <v>0</v>
      </c>
      <c r="B36" s="408" t="str">
        <f t="shared" si="1"/>
        <v>AYC All DIB sawlog</v>
      </c>
      <c r="C36" s="438">
        <f t="shared" si="2"/>
        <v>0</v>
      </c>
      <c r="D36" s="445">
        <f>$F$3*C36*A36</f>
        <v>0</v>
      </c>
      <c r="F36" s="445"/>
      <c r="G36" s="443">
        <f t="shared" si="3"/>
        <v>0</v>
      </c>
      <c r="H36" s="444">
        <v>1</v>
      </c>
      <c r="I36" s="445">
        <f>$F$4*H36*G36</f>
        <v>0</v>
      </c>
      <c r="J36" s="444"/>
      <c r="K36" s="446"/>
    </row>
    <row r="37" spans="1:11" s="438" customFormat="1" ht="11.25" hidden="1" customHeight="1" x14ac:dyDescent="0.2">
      <c r="A37" s="447">
        <f t="shared" si="1"/>
        <v>0</v>
      </c>
      <c r="B37" s="448" t="str">
        <f t="shared" si="1"/>
        <v>WRC  All DIB sawlog</v>
      </c>
      <c r="C37" s="449">
        <f t="shared" si="2"/>
        <v>1</v>
      </c>
      <c r="D37" s="450">
        <f>$G$3*C37*A37</f>
        <v>0</v>
      </c>
      <c r="E37" s="449"/>
      <c r="F37" s="450"/>
      <c r="G37" s="447">
        <f t="shared" si="3"/>
        <v>0</v>
      </c>
      <c r="H37" s="449">
        <v>1</v>
      </c>
      <c r="I37" s="450">
        <f>$G$4*H37*G37</f>
        <v>0</v>
      </c>
      <c r="J37" s="449"/>
      <c r="K37" s="451"/>
    </row>
    <row r="38" spans="1:11" s="438" customFormat="1" ht="11.25" hidden="1" customHeight="1" x14ac:dyDescent="0.2">
      <c r="A38" s="452">
        <f>SUM(A32:A37)</f>
        <v>0</v>
      </c>
      <c r="C38" s="453" t="s">
        <v>216</v>
      </c>
      <c r="D38" s="424">
        <f>SUM(D32:D37)</f>
        <v>0</v>
      </c>
      <c r="G38" s="425">
        <f>SUM(G32:G37)</f>
        <v>0</v>
      </c>
      <c r="H38" s="453" t="str">
        <f>C38</f>
        <v xml:space="preserve">Base Year </v>
      </c>
      <c r="I38" s="424">
        <f>SUM(I32:I37)</f>
        <v>0</v>
      </c>
      <c r="K38" s="454"/>
    </row>
    <row r="39" spans="1:11" s="438" customFormat="1" ht="11.25" hidden="1" customHeight="1" x14ac:dyDescent="0.2">
      <c r="D39" s="429">
        <f>IF(D38=0,0,D38/A38)</f>
        <v>0</v>
      </c>
      <c r="I39" s="455">
        <f>IF(I38=0,0,I38/G38)</f>
        <v>0</v>
      </c>
      <c r="J39" s="456"/>
      <c r="K39" s="454"/>
    </row>
    <row r="40" spans="1:11" ht="11.25" hidden="1" customHeight="1" x14ac:dyDescent="0.15">
      <c r="J40" s="364">
        <f>C4</f>
        <v>1868.52</v>
      </c>
    </row>
    <row r="41" spans="1:11" ht="14.65" hidden="1" customHeight="1" x14ac:dyDescent="0.25">
      <c r="G41" s="457"/>
    </row>
    <row r="42" spans="1:11" ht="13.9" hidden="1" customHeight="1" x14ac:dyDescent="0.25">
      <c r="F42" s="364">
        <f>G8/G4</f>
        <v>1.0227591376653664</v>
      </c>
      <c r="G42" s="457"/>
    </row>
    <row r="43" spans="1:11" ht="15.75" hidden="1" x14ac:dyDescent="0.25">
      <c r="G43" s="457"/>
    </row>
    <row r="44" spans="1:11" hidden="1" x14ac:dyDescent="0.15"/>
    <row r="45" spans="1:11" ht="11.65" customHeight="1" x14ac:dyDescent="0.15"/>
  </sheetData>
  <sheetProtection algorithmName="SHA-512" hashValue="E1EHA3PYXYEwsYj9kDMT3Hyi603E0cDlMVuqZvORIZMaNztkRCATfVJZsHQt024pd78RnSu2AGZdP2nqvRKW6w==" saltValue="cWmeN2voShVHk9yt0qe6rQ==" spinCount="100000" sheet="1" selectLockedCells="1" selectUnlockedCells="1"/>
  <printOptions gridLines="1"/>
  <pageMargins left="0.25" right="0.25" top="0.75" bottom="1" header="0.5" footer="0.5"/>
  <pageSetup paperSize="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O83"/>
  <sheetViews>
    <sheetView zoomScale="90" zoomScaleNormal="90" workbookViewId="0">
      <selection activeCell="A150" sqref="A150"/>
    </sheetView>
  </sheetViews>
  <sheetFormatPr defaultColWidth="9.28515625" defaultRowHeight="15" x14ac:dyDescent="0.25"/>
  <cols>
    <col min="1" max="1" width="32" style="459" customWidth="1"/>
    <col min="2" max="2" width="4.7109375" style="459" customWidth="1"/>
    <col min="3" max="3" width="20.28515625" style="459" customWidth="1"/>
    <col min="4" max="4" width="18.28515625" style="459" customWidth="1"/>
    <col min="5" max="6" width="18.42578125" style="459" customWidth="1"/>
    <col min="7" max="7" width="17.7109375" style="459" customWidth="1"/>
    <col min="8" max="8" width="19.42578125" style="459" customWidth="1"/>
    <col min="9" max="9" width="13.28515625" style="459" customWidth="1"/>
    <col min="10" max="10" width="15" style="459" customWidth="1"/>
    <col min="11" max="11" width="12.5703125" style="459" customWidth="1"/>
    <col min="12" max="12" width="11.42578125" style="459" customWidth="1"/>
    <col min="13" max="13" width="7.5703125" style="459" customWidth="1"/>
    <col min="14" max="14" width="8.28515625" style="459" customWidth="1"/>
    <col min="15" max="16384" width="9.28515625" style="459"/>
  </cols>
  <sheetData>
    <row r="1" spans="1:15" x14ac:dyDescent="0.25">
      <c r="A1" s="458"/>
      <c r="B1" s="458"/>
      <c r="C1" s="458"/>
      <c r="D1" s="458"/>
      <c r="E1" s="458"/>
      <c r="F1" s="458"/>
      <c r="G1" s="458"/>
      <c r="H1" s="458"/>
      <c r="I1" s="458"/>
      <c r="J1" s="458"/>
      <c r="K1" s="458"/>
    </row>
    <row r="2" spans="1:15" x14ac:dyDescent="0.25">
      <c r="A2" s="460" t="s">
        <v>217</v>
      </c>
      <c r="B2" s="458"/>
      <c r="C2" s="461" t="s">
        <v>218</v>
      </c>
      <c r="D2" s="461" t="s">
        <v>219</v>
      </c>
      <c r="E2" s="461" t="s">
        <v>220</v>
      </c>
      <c r="F2" s="461" t="s">
        <v>115</v>
      </c>
      <c r="G2" s="461" t="s">
        <v>118</v>
      </c>
      <c r="H2" s="462" t="s">
        <v>221</v>
      </c>
      <c r="I2" s="458"/>
      <c r="J2" s="458"/>
      <c r="K2" s="458"/>
      <c r="L2" s="463"/>
      <c r="M2" s="464"/>
      <c r="N2" s="464"/>
      <c r="O2" s="464"/>
    </row>
    <row r="3" spans="1:15" x14ac:dyDescent="0.25">
      <c r="A3" s="460" t="s">
        <v>222</v>
      </c>
      <c r="B3" s="458"/>
      <c r="C3" s="465">
        <f>IF('INPUT  Pg1'!D54+'INPUT  Pg1'!D55=0,0.00000000000001,'INPUT  Pg1'!D54+'INPUT  Pg1'!D55)</f>
        <v>1E-14</v>
      </c>
      <c r="D3" s="465">
        <f>IF('INPUT  Pg1'!D56=0,0.00000000000001,'INPUT  Pg1'!D56)</f>
        <v>1E-14</v>
      </c>
      <c r="E3" s="465">
        <f>IF('INPUT  Pg1'!D57+'INPUT  Pg1'!D58=0,0.00000000000001,'INPUT  Pg1'!D57+'INPUT  Pg1'!D58)</f>
        <v>1E-14</v>
      </c>
      <c r="F3" s="465">
        <f>IF('INPUT  Pg1'!D59=0,0.00000000000001,'INPUT  Pg1'!D59)</f>
        <v>1E-14</v>
      </c>
      <c r="G3" s="465">
        <f>IF('INPUT  Pg1'!D60=0,0.00000000000001,'INPUT  Pg1'!D60)</f>
        <v>1E-14</v>
      </c>
      <c r="H3" s="466">
        <f>C3+D3+E3+F3+G3</f>
        <v>5.0000000000000002E-14</v>
      </c>
      <c r="I3" s="458"/>
      <c r="J3" s="467"/>
      <c r="K3" s="458"/>
      <c r="L3" s="463"/>
      <c r="M3" s="464"/>
      <c r="N3" s="464"/>
      <c r="O3" s="464"/>
    </row>
    <row r="4" spans="1:15" ht="15.75" thickBot="1" x14ac:dyDescent="0.3">
      <c r="A4" s="460" t="s">
        <v>223</v>
      </c>
      <c r="B4" s="460"/>
      <c r="C4" s="468">
        <f>('BY2025 Update'!D21+'BY2025 Update'!I21+'BY2025 Update'!D22+'BY2025 Update'!I22+C17+C16)/C3</f>
        <v>0</v>
      </c>
      <c r="D4" s="468">
        <f>('BY2025 Update'!D23+'BY2025 Update'!I23+D17+D16)/D3</f>
        <v>0</v>
      </c>
      <c r="E4" s="469">
        <f>('BY2025 Update'!D24+'BY2025 Update'!I24+E17+E16)/E3</f>
        <v>0</v>
      </c>
      <c r="F4" s="468">
        <f>('BY2025 Update'!I25+F17+F16)/F3</f>
        <v>0</v>
      </c>
      <c r="G4" s="468">
        <f>('BY2025 Update'!I26+'BY2025 Update'!D26+G17+G16)/G3</f>
        <v>0</v>
      </c>
      <c r="H4" s="468">
        <f>(SUM('BY2025 Update'!D21:D26)+SUM('BY2025 Update'!I21:I26)+H17+H16)/H3</f>
        <v>0</v>
      </c>
      <c r="I4" s="470"/>
      <c r="J4" s="471"/>
      <c r="K4" s="458"/>
      <c r="L4" s="463"/>
      <c r="M4" s="472"/>
      <c r="N4" s="464"/>
      <c r="O4" s="464"/>
    </row>
    <row r="5" spans="1:15" x14ac:dyDescent="0.25">
      <c r="A5" s="473" t="s">
        <v>224</v>
      </c>
      <c r="B5" s="474"/>
      <c r="C5" s="475">
        <f>IF('BY2025 Update'!A21+'BY2025 Update'!A22=0,0.00000000000001,'BY2025 Update'!A21+'BY2025 Update'!A22)</f>
        <v>1E-14</v>
      </c>
      <c r="D5" s="475">
        <f>IF('BY2025 Update'!A23=0,0.00000000000001,'BY2025 Update'!A23)</f>
        <v>1E-14</v>
      </c>
      <c r="E5" s="475">
        <f>IF('BY2025 Update'!A24=0,0.00000000000001,'BY2025 Update'!A24)</f>
        <v>1E-14</v>
      </c>
      <c r="F5" s="475">
        <f>IF('BY2025 Update'!A25=0,0.00000000000001,'BY2025 Update'!A25)</f>
        <v>1E-14</v>
      </c>
      <c r="G5" s="475">
        <f>IF('BY2025 Update'!A26=0,0.00000000000001,'BY2025 Update'!A26)</f>
        <v>1E-14</v>
      </c>
      <c r="H5" s="476">
        <f>C5+D5+E5++F5+G5</f>
        <v>5.0000000000000002E-14</v>
      </c>
      <c r="I5" s="477"/>
      <c r="J5" s="474"/>
      <c r="K5" s="478"/>
      <c r="L5" s="463"/>
      <c r="M5" s="472"/>
      <c r="N5" s="464"/>
      <c r="O5" s="464"/>
    </row>
    <row r="6" spans="1:15" x14ac:dyDescent="0.25">
      <c r="A6" s="479" t="s">
        <v>225</v>
      </c>
      <c r="B6" s="458"/>
      <c r="C6" s="480">
        <f>('BY2025 Update'!D21+'BY2025 Update'!D22)/C5</f>
        <v>0</v>
      </c>
      <c r="D6" s="480">
        <f>'BY2025 Update'!D23/D5</f>
        <v>0</v>
      </c>
      <c r="E6" s="471">
        <f>'BY2025 Update'!D24/E5</f>
        <v>0</v>
      </c>
      <c r="F6" s="480">
        <f>'BY2025 Update'!D25/F5</f>
        <v>0</v>
      </c>
      <c r="G6" s="480">
        <f>'BY2025 Update'!D26/G5</f>
        <v>0</v>
      </c>
      <c r="H6" s="480">
        <f>((C5*C6)+(D5*D6)+(E5*E6)+(G5*G6)+(F5*F6))/H5</f>
        <v>0</v>
      </c>
      <c r="I6" s="481" t="s">
        <v>226</v>
      </c>
      <c r="J6" s="458"/>
      <c r="K6" s="607" t="s">
        <v>425</v>
      </c>
      <c r="L6" s="463"/>
      <c r="M6" s="464"/>
      <c r="N6" s="464"/>
      <c r="O6" s="464"/>
    </row>
    <row r="7" spans="1:15" x14ac:dyDescent="0.25">
      <c r="A7" s="479" t="s">
        <v>227</v>
      </c>
      <c r="B7" s="458"/>
      <c r="C7" s="483">
        <v>0</v>
      </c>
      <c r="D7" s="483">
        <v>0</v>
      </c>
      <c r="E7" s="483">
        <v>0</v>
      </c>
      <c r="F7" s="483">
        <v>0</v>
      </c>
      <c r="G7" s="484">
        <f>IF('BY2025 Update'!G26=0,0.0000000000000001,'BY2025 Update'!G26)</f>
        <v>9.9999999999999998E-17</v>
      </c>
      <c r="H7" s="483">
        <f>C7+D7+E7++F7+G7</f>
        <v>9.9999999999999998E-17</v>
      </c>
      <c r="I7" s="485">
        <f>IF('BY2025 Update'!G26=0,0,H7/H3)</f>
        <v>0</v>
      </c>
      <c r="J7" s="485"/>
      <c r="K7" s="482"/>
      <c r="L7" s="463"/>
      <c r="M7" s="464"/>
      <c r="N7" s="464"/>
      <c r="O7" s="464"/>
    </row>
    <row r="8" spans="1:15" x14ac:dyDescent="0.25">
      <c r="A8" s="479" t="s">
        <v>228</v>
      </c>
      <c r="B8" s="458"/>
      <c r="C8" s="480">
        <v>0</v>
      </c>
      <c r="D8" s="480">
        <v>0</v>
      </c>
      <c r="E8" s="480">
        <v>0</v>
      </c>
      <c r="F8" s="480">
        <v>0</v>
      </c>
      <c r="G8" s="480">
        <f>('BY2025 Update'!I26+G17)/G7</f>
        <v>0</v>
      </c>
      <c r="H8" s="480">
        <f>((C7*C8)+(D7*D8)+(E7*E8)+(G7*G8)+(F7*F8))/H7</f>
        <v>0</v>
      </c>
      <c r="I8" s="485">
        <f>IF(K8&lt;0.01,0,K8/H3)</f>
        <v>0</v>
      </c>
      <c r="J8" s="486" t="s">
        <v>229</v>
      </c>
      <c r="K8" s="487">
        <f>H9+H7</f>
        <v>1.4000000000000001E-16</v>
      </c>
      <c r="L8" s="463"/>
      <c r="M8" s="472"/>
      <c r="N8" s="464"/>
      <c r="O8" s="464"/>
    </row>
    <row r="9" spans="1:15" x14ac:dyDescent="0.25">
      <c r="A9" s="479" t="s">
        <v>230</v>
      </c>
      <c r="B9" s="458"/>
      <c r="C9" s="484">
        <f>IF('BY2025 Update'!G21+'BY2025 Update'!G22=0,0.00000000000000001,'BY2025 Update'!G21+'BY2025 Update'!G22)</f>
        <v>1.0000000000000001E-17</v>
      </c>
      <c r="D9" s="484">
        <f>IF('BY2025 Update'!G23=0,0.00000000000000001,'BY2025 Update'!G23)</f>
        <v>1.0000000000000001E-17</v>
      </c>
      <c r="E9" s="484">
        <f>IF('BY2025 Update'!G24=0,0.00000000000000001,'BY2025 Update'!G24)</f>
        <v>1.0000000000000001E-17</v>
      </c>
      <c r="F9" s="484">
        <f>IF('BY2025 Update'!G25=0,0.00000000000000001,'BY2025 Update'!G25)</f>
        <v>1.0000000000000001E-17</v>
      </c>
      <c r="G9" s="483">
        <v>0</v>
      </c>
      <c r="H9" s="483">
        <f>C9+D9+E9++F9+G9</f>
        <v>4.0000000000000003E-17</v>
      </c>
      <c r="I9" s="485">
        <f>IF(K9&lt;0.01,0,K9/H3)</f>
        <v>0</v>
      </c>
      <c r="J9" s="319" t="s">
        <v>231</v>
      </c>
      <c r="K9" s="487">
        <f>H9</f>
        <v>4.0000000000000003E-17</v>
      </c>
      <c r="L9" s="488"/>
      <c r="M9" s="472"/>
      <c r="N9" s="464"/>
      <c r="O9" s="464"/>
    </row>
    <row r="10" spans="1:15" ht="15.75" thickBot="1" x14ac:dyDescent="0.3">
      <c r="A10" s="489" t="s">
        <v>232</v>
      </c>
      <c r="B10" s="490"/>
      <c r="C10" s="491">
        <f>IF('INPUT  Pg1'!D54+'INPUT  Pg1'!D55=0,0,('BY2025 Update'!I21+'BY2025 Update'!I22+C17)/C9)</f>
        <v>0</v>
      </c>
      <c r="D10" s="491">
        <f>IF('INPUT  Pg1'!D56=0,0,('BY2025 Update'!I23+D17)/D9)</f>
        <v>0</v>
      </c>
      <c r="E10" s="491">
        <f>IF('INPUT  Pg1'!D57+'INPUT  Pg1'!D58=0,0,('BY2025 Update'!I24+E17)/E9)</f>
        <v>0</v>
      </c>
      <c r="F10" s="491">
        <f>IF('INPUT  Pg1'!D59=0,0,('BY2025 Update'!I25+F17)/F9)</f>
        <v>0</v>
      </c>
      <c r="G10" s="491">
        <v>0</v>
      </c>
      <c r="H10" s="491">
        <f>+((C9*C10)+(D9*D10)+(E9*E10)+(G9*G10)+(F9*F10))/H9</f>
        <v>0</v>
      </c>
      <c r="I10" s="492">
        <f>IF(K10&lt;0.01,0,K10/H3)</f>
        <v>0</v>
      </c>
      <c r="J10" s="493" t="s">
        <v>233</v>
      </c>
      <c r="K10" s="494">
        <f>C9+D9+E9</f>
        <v>3.0000000000000001E-17</v>
      </c>
      <c r="L10" s="463"/>
      <c r="M10" s="464"/>
      <c r="N10" s="464"/>
      <c r="O10" s="464"/>
    </row>
    <row r="11" spans="1:15" x14ac:dyDescent="0.25">
      <c r="A11" s="495" t="s">
        <v>234</v>
      </c>
      <c r="B11" s="460"/>
      <c r="C11" s="469">
        <f>('BY2025 Update'!F21+'BY2025 Update'!K21+'BY2025 Update'!F22+'BY2025 Update'!K22)/C3</f>
        <v>0</v>
      </c>
      <c r="D11" s="469">
        <f>('BY2025 Update'!F23+'BY2025 Update'!K23)/D3</f>
        <v>0</v>
      </c>
      <c r="E11" s="469">
        <f>('BY2025 Update'!F24+'BY2025 Update'!K24)/E3</f>
        <v>0</v>
      </c>
      <c r="F11" s="469">
        <f>('BY2025 Update'!F25+'BY2025 Update'!K25)/F3</f>
        <v>0</v>
      </c>
      <c r="G11" s="469">
        <f>('BY2025 Update'!F26+'BY2025 Update'!K26)/G3</f>
        <v>0</v>
      </c>
      <c r="H11" s="496">
        <f>((C3*C11)+(D3*D11)+(E3*E11)+(G3*G11)+(F3*F11))/H3</f>
        <v>0</v>
      </c>
      <c r="I11" s="497"/>
      <c r="J11" s="458"/>
      <c r="K11" s="458"/>
      <c r="L11" s="463"/>
      <c r="M11" s="464"/>
      <c r="N11" s="464"/>
      <c r="O11" s="464"/>
    </row>
    <row r="12" spans="1:15" x14ac:dyDescent="0.25">
      <c r="A12" s="479" t="s">
        <v>235</v>
      </c>
      <c r="B12" s="458"/>
      <c r="C12" s="471">
        <f>('BY2025 Update'!F21+'BY2025 Update'!F22)/C5</f>
        <v>0</v>
      </c>
      <c r="D12" s="471">
        <f>'BY2025 Update'!F23/D5</f>
        <v>0</v>
      </c>
      <c r="E12" s="471">
        <f>'BY2025 Update'!F24/E5</f>
        <v>0</v>
      </c>
      <c r="F12" s="471">
        <f>'BY2025 Update'!F25/F5</f>
        <v>0</v>
      </c>
      <c r="G12" s="471">
        <f>'BY2025 Update'!F26/G5</f>
        <v>0</v>
      </c>
      <c r="H12" s="498">
        <f>+((C5*C12)+(D5*D12)+(E5*E12)+(G5*G12)+(F5*F12))/H5</f>
        <v>0</v>
      </c>
      <c r="I12" s="458"/>
      <c r="J12" s="458"/>
      <c r="K12" s="458"/>
      <c r="L12" s="463"/>
      <c r="M12" s="464"/>
      <c r="N12" s="464"/>
      <c r="O12" s="464"/>
    </row>
    <row r="13" spans="1:15" x14ac:dyDescent="0.25">
      <c r="A13" s="479" t="s">
        <v>236</v>
      </c>
      <c r="B13" s="458"/>
      <c r="C13" s="471">
        <v>0</v>
      </c>
      <c r="D13" s="471">
        <v>0</v>
      </c>
      <c r="E13" s="471">
        <v>0</v>
      </c>
      <c r="F13" s="471">
        <v>0</v>
      </c>
      <c r="G13" s="471">
        <f>'BY2025 Update'!K26/G7</f>
        <v>0</v>
      </c>
      <c r="H13" s="498">
        <f>+((C7*C13)+(D7*D13)+(E7*E13)+(G7*G13)+(F7*F13))/H7</f>
        <v>0</v>
      </c>
      <c r="I13" s="499"/>
      <c r="J13" s="458"/>
      <c r="K13" s="458"/>
      <c r="L13" s="458"/>
    </row>
    <row r="14" spans="1:15" ht="15.75" thickBot="1" x14ac:dyDescent="0.3">
      <c r="A14" s="489" t="s">
        <v>237</v>
      </c>
      <c r="B14" s="490"/>
      <c r="C14" s="500">
        <f>('BY2025 Update'!K21+'BY2025 Update'!K22)/C9</f>
        <v>0</v>
      </c>
      <c r="D14" s="500">
        <f>'BY2025 Update'!K23/D9</f>
        <v>0</v>
      </c>
      <c r="E14" s="501">
        <f>'BY2025 Update'!K24/E9</f>
        <v>0</v>
      </c>
      <c r="F14" s="501">
        <f>'BY2025 Update'!K25/F9</f>
        <v>0</v>
      </c>
      <c r="G14" s="501">
        <v>0</v>
      </c>
      <c r="H14" s="502">
        <f>+((C9*C14)+(D9*D14)+(E9*E14)+(G9*G14)+(F9*F14))/H9</f>
        <v>0</v>
      </c>
      <c r="I14" s="458"/>
      <c r="J14" s="503"/>
      <c r="K14" s="458"/>
      <c r="L14" s="458"/>
    </row>
    <row r="15" spans="1:15" x14ac:dyDescent="0.25">
      <c r="A15" s="474"/>
      <c r="B15" s="458"/>
      <c r="C15" s="504"/>
      <c r="D15" s="504"/>
      <c r="E15" s="505"/>
      <c r="F15" s="505"/>
      <c r="G15" s="505"/>
      <c r="H15" s="458"/>
      <c r="I15" s="458"/>
      <c r="J15" s="503"/>
      <c r="K15" s="458"/>
      <c r="L15" s="458"/>
    </row>
    <row r="16" spans="1:15" x14ac:dyDescent="0.25">
      <c r="A16" s="506" t="s">
        <v>409</v>
      </c>
      <c r="B16" s="507"/>
      <c r="C16" s="508">
        <f>IF('INPUT  Pg1'!C11=9,I73,0)</f>
        <v>0</v>
      </c>
      <c r="D16" s="508">
        <f>IF('INPUT  Pg1'!C11=9,I74,0)</f>
        <v>0</v>
      </c>
      <c r="E16" s="508">
        <f>IF('INPUT  Pg1'!C11=9,I75,0)</f>
        <v>0</v>
      </c>
      <c r="F16" s="508">
        <f>IF('INPUT  Pg1'!C11=9,I76,0)</f>
        <v>0</v>
      </c>
      <c r="G16" s="508">
        <f>IF('INPUT  Pg1'!C11=9,I77,0)</f>
        <v>0</v>
      </c>
      <c r="H16" s="509">
        <f>SUM(C16:G16)</f>
        <v>0</v>
      </c>
      <c r="I16" s="458"/>
      <c r="J16" s="503"/>
      <c r="K16" s="458"/>
      <c r="L16" s="458"/>
    </row>
    <row r="17" spans="1:12" x14ac:dyDescent="0.25">
      <c r="A17" s="506" t="s">
        <v>238</v>
      </c>
      <c r="B17" s="507"/>
      <c r="C17" s="508">
        <f>IF('INPUT  Pg1'!C11=9,I63,0)</f>
        <v>0</v>
      </c>
      <c r="D17" s="508">
        <f>IF('INPUT  Pg1'!C11=9,I64,0)</f>
        <v>0</v>
      </c>
      <c r="E17" s="508">
        <f>IF('INPUT  Pg1'!C11=9,I65,0)</f>
        <v>0</v>
      </c>
      <c r="F17" s="508">
        <f>IF('INPUT  Pg1'!C11=9,I66,0)</f>
        <v>0</v>
      </c>
      <c r="G17" s="508">
        <f>IF('INPUT  Pg1'!C11=9,I67,0)</f>
        <v>0</v>
      </c>
      <c r="H17" s="509">
        <f>SUM(C17:G17)</f>
        <v>0</v>
      </c>
      <c r="I17" s="458"/>
      <c r="J17" s="503"/>
      <c r="K17" s="458"/>
      <c r="L17" s="458"/>
    </row>
    <row r="18" spans="1:12" x14ac:dyDescent="0.25">
      <c r="A18" s="458"/>
      <c r="B18" s="458"/>
      <c r="C18" s="510"/>
      <c r="D18" s="510"/>
      <c r="E18" s="510"/>
      <c r="F18" s="510"/>
      <c r="G18" s="510"/>
      <c r="H18" s="471"/>
      <c r="I18" s="458"/>
      <c r="J18" s="503"/>
      <c r="K18" s="458"/>
      <c r="L18" s="458"/>
    </row>
    <row r="19" spans="1:12" x14ac:dyDescent="0.25">
      <c r="A19" s="458"/>
      <c r="B19" s="458"/>
      <c r="C19" s="510"/>
      <c r="D19" s="510"/>
      <c r="E19" s="510"/>
      <c r="F19" s="510"/>
      <c r="G19" s="510"/>
      <c r="H19" s="471"/>
      <c r="I19" s="458"/>
      <c r="J19" s="503"/>
      <c r="K19" s="458"/>
      <c r="L19" s="458"/>
    </row>
    <row r="20" spans="1:12" x14ac:dyDescent="0.25">
      <c r="A20" s="458"/>
      <c r="B20" s="458"/>
      <c r="C20" s="510"/>
      <c r="D20" s="510"/>
      <c r="E20" s="510"/>
      <c r="F20" s="510"/>
      <c r="G20" s="510"/>
      <c r="H20" s="471"/>
      <c r="I20" s="458"/>
      <c r="J20" s="503"/>
      <c r="K20" s="458"/>
      <c r="L20" s="458"/>
    </row>
    <row r="21" spans="1:12" x14ac:dyDescent="0.25">
      <c r="A21" s="458"/>
      <c r="B21" s="458"/>
      <c r="C21" s="510"/>
      <c r="D21" s="510"/>
      <c r="E21" s="510"/>
      <c r="F21" s="510"/>
      <c r="G21" s="510"/>
      <c r="H21" s="471"/>
      <c r="I21" s="458"/>
      <c r="J21" s="503"/>
      <c r="K21" s="458"/>
      <c r="L21" s="458"/>
    </row>
    <row r="22" spans="1:12" x14ac:dyDescent="0.25">
      <c r="A22" s="458"/>
      <c r="B22" s="458"/>
      <c r="C22" s="510"/>
      <c r="D22" s="510"/>
      <c r="E22" s="510"/>
      <c r="F22" s="510"/>
      <c r="G22" s="510"/>
      <c r="H22" s="471"/>
      <c r="I22" s="458"/>
      <c r="J22" s="503"/>
      <c r="K22" s="458"/>
      <c r="L22" s="458"/>
    </row>
    <row r="23" spans="1:12" x14ac:dyDescent="0.25">
      <c r="A23" s="458"/>
      <c r="B23" s="458"/>
      <c r="C23" s="510"/>
      <c r="D23" s="510"/>
      <c r="E23" s="510"/>
      <c r="F23" s="510"/>
      <c r="G23" s="510"/>
      <c r="H23" s="471"/>
      <c r="I23" s="458"/>
      <c r="J23" s="503"/>
      <c r="K23" s="458"/>
      <c r="L23" s="458"/>
    </row>
    <row r="24" spans="1:12" ht="15.75" hidden="1" thickBot="1" x14ac:dyDescent="0.3">
      <c r="A24" s="511" t="s">
        <v>239</v>
      </c>
      <c r="B24" s="460"/>
      <c r="C24" s="512">
        <f>C4-C11</f>
        <v>0</v>
      </c>
      <c r="D24" s="512">
        <f>D4-D11</f>
        <v>0</v>
      </c>
      <c r="E24" s="512">
        <f>E4-E11</f>
        <v>0</v>
      </c>
      <c r="F24" s="512">
        <f>F4-F11</f>
        <v>0</v>
      </c>
      <c r="G24" s="513">
        <f>G4-G11</f>
        <v>0</v>
      </c>
      <c r="H24" s="514">
        <f>(C24*C3+D24*D3+E24*E3+F24*F3+G24*G3)/(H3)</f>
        <v>0</v>
      </c>
      <c r="I24" s="515" t="s">
        <v>240</v>
      </c>
      <c r="J24" s="458"/>
      <c r="K24" s="458"/>
      <c r="L24" s="458"/>
    </row>
    <row r="25" spans="1:12" hidden="1" x14ac:dyDescent="0.25">
      <c r="A25" s="473" t="s">
        <v>241</v>
      </c>
      <c r="B25" s="474"/>
      <c r="C25" s="474"/>
      <c r="D25" s="474"/>
      <c r="E25" s="474"/>
      <c r="F25" s="474"/>
      <c r="G25" s="474"/>
      <c r="H25" s="516"/>
      <c r="I25" s="458"/>
      <c r="J25" s="458"/>
      <c r="K25" s="458"/>
      <c r="L25" s="458"/>
    </row>
    <row r="26" spans="1:12" hidden="1" x14ac:dyDescent="0.25">
      <c r="A26" s="479" t="s">
        <v>242</v>
      </c>
      <c r="B26" s="517">
        <f>IF(H6=0,0,H26/H6)</f>
        <v>0</v>
      </c>
      <c r="C26" s="505">
        <f>IF(C32=0,0,C42*C6)</f>
        <v>0</v>
      </c>
      <c r="D26" s="505">
        <f>IF(D32=0,0,D42*D6)</f>
        <v>0</v>
      </c>
      <c r="E26" s="505">
        <f>IF(E32=0,0,E42*E6)</f>
        <v>0</v>
      </c>
      <c r="F26" s="505">
        <f>IF(F32=0,0,F42*F6)</f>
        <v>0</v>
      </c>
      <c r="G26" s="505">
        <f>IF(G32=0,0,G42*G6)</f>
        <v>0</v>
      </c>
      <c r="H26" s="518">
        <f>+((C5*C26)+(D5*D26)+(E5*E26)+(G5*G26)+(F5*F26))/H5</f>
        <v>0</v>
      </c>
      <c r="I26" s="458"/>
      <c r="J26" s="458"/>
      <c r="K26" s="458"/>
      <c r="L26" s="458"/>
    </row>
    <row r="27" spans="1:12" hidden="1" x14ac:dyDescent="0.25">
      <c r="A27" s="479" t="s">
        <v>243</v>
      </c>
      <c r="B27" s="517">
        <f>IF(H9+H7&lt;0.0001,0,H27/(H10*E47+H8*F47))</f>
        <v>0</v>
      </c>
      <c r="C27" s="505">
        <f>IF(C33=0,0,C43*C10)</f>
        <v>0</v>
      </c>
      <c r="D27" s="505">
        <f>IF(D33=0,0,D43*D10)</f>
        <v>0</v>
      </c>
      <c r="E27" s="505">
        <f>IF(E33=0,0,E43*E10)</f>
        <v>0</v>
      </c>
      <c r="F27" s="505">
        <f>IF(F33=0,0,F43*F10)</f>
        <v>0</v>
      </c>
      <c r="G27" s="505">
        <f>IF(G33=0,0,G43*G10)</f>
        <v>0</v>
      </c>
      <c r="H27" s="518">
        <f>+((C9*C27)+(D9*D27)+(E9*E27)+(G7*G27)+(F9*F27))/(H9+H7)</f>
        <v>0</v>
      </c>
      <c r="I27" s="458"/>
      <c r="J27" s="458"/>
      <c r="K27" s="458"/>
      <c r="L27" s="519"/>
    </row>
    <row r="28" spans="1:12" ht="15.75" hidden="1" thickBot="1" x14ac:dyDescent="0.3">
      <c r="A28" s="520" t="s">
        <v>244</v>
      </c>
      <c r="B28" s="521"/>
      <c r="C28" s="522">
        <f>IF(C3=0.00000000000001,0,($B$27*C9+$B$26*C5)/C3)</f>
        <v>0</v>
      </c>
      <c r="D28" s="522">
        <f>IF(D3=0.00000000000001,0,($B$27*D9+$B$26*D5)/D3)</f>
        <v>0</v>
      </c>
      <c r="E28" s="521">
        <f>IF(E3=0.00000000000001,0,($B$27*E9+$B$26*E5)/E3)</f>
        <v>0</v>
      </c>
      <c r="F28" s="522">
        <f>IF(F3=0.00000000000001,0,B27)</f>
        <v>0</v>
      </c>
      <c r="G28" s="522">
        <f>IF(G3=0.00000000000001,0,($B$27*G7+$B$26*G5)/G3)</f>
        <v>0</v>
      </c>
      <c r="H28" s="523">
        <f>(C28*C3+D28*D3+E28*E3+F28*F3+G28*G3)/H3</f>
        <v>0</v>
      </c>
      <c r="I28" s="458"/>
      <c r="J28" s="458"/>
      <c r="K28" s="458"/>
      <c r="L28" s="458"/>
    </row>
    <row r="29" spans="1:12" hidden="1" x14ac:dyDescent="0.25">
      <c r="A29" s="495"/>
      <c r="B29" s="458"/>
      <c r="C29" s="471"/>
      <c r="D29" s="471"/>
      <c r="E29" s="524"/>
      <c r="F29" s="471"/>
      <c r="G29" s="471"/>
      <c r="H29" s="525"/>
      <c r="I29" s="458"/>
      <c r="J29" s="458"/>
      <c r="K29" s="458"/>
      <c r="L29" s="458"/>
    </row>
    <row r="30" spans="1:12" hidden="1" x14ac:dyDescent="0.25">
      <c r="A30" s="458"/>
      <c r="B30" s="458"/>
      <c r="C30" s="526"/>
      <c r="D30" s="526"/>
      <c r="E30" s="526"/>
      <c r="F30" s="526"/>
      <c r="G30" s="526"/>
      <c r="H30" s="458"/>
      <c r="I30" s="458"/>
      <c r="J30" s="458"/>
      <c r="K30" s="458"/>
      <c r="L30" s="458"/>
    </row>
    <row r="31" spans="1:12" hidden="1" x14ac:dyDescent="0.25">
      <c r="A31" s="515" t="s">
        <v>245</v>
      </c>
      <c r="B31" s="458"/>
      <c r="C31" s="319" t="s">
        <v>107</v>
      </c>
      <c r="D31" s="319" t="s">
        <v>110</v>
      </c>
      <c r="E31" s="319" t="s">
        <v>111</v>
      </c>
      <c r="F31" s="458" t="s">
        <v>115</v>
      </c>
      <c r="G31" s="527" t="s">
        <v>118</v>
      </c>
      <c r="H31" s="458"/>
      <c r="I31" s="458"/>
      <c r="J31" s="458"/>
    </row>
    <row r="32" spans="1:12" hidden="1" x14ac:dyDescent="0.25">
      <c r="A32" s="458"/>
      <c r="B32" s="319" t="s">
        <v>246</v>
      </c>
      <c r="C32" s="463">
        <f>'BY2025 Update'!A21+'BY2025 Update'!A22</f>
        <v>0</v>
      </c>
      <c r="D32" s="463">
        <f>'BY2025 Update'!A23</f>
        <v>0</v>
      </c>
      <c r="E32" s="463">
        <f>'BY2025 Update'!A24</f>
        <v>0</v>
      </c>
      <c r="G32" s="463">
        <f>'BY2025 Update'!A26</f>
        <v>0</v>
      </c>
      <c r="I32" s="458"/>
      <c r="J32" s="458"/>
    </row>
    <row r="33" spans="1:12" hidden="1" x14ac:dyDescent="0.25">
      <c r="A33" s="458"/>
      <c r="B33" s="319" t="s">
        <v>247</v>
      </c>
      <c r="C33" s="528">
        <f>'BY2025 Update'!G21+'BY2025 Update'!G22</f>
        <v>0</v>
      </c>
      <c r="D33" s="528">
        <f>'BY2025 Update'!G23</f>
        <v>0</v>
      </c>
      <c r="E33" s="528">
        <f>'BY2025 Update'!G24</f>
        <v>0</v>
      </c>
      <c r="F33" s="463">
        <f>'BY2025 Update'!G25</f>
        <v>0</v>
      </c>
      <c r="G33" s="463">
        <f>'BY2025 Update'!G26</f>
        <v>0</v>
      </c>
      <c r="I33" s="458"/>
      <c r="J33" s="458"/>
    </row>
    <row r="34" spans="1:12" hidden="1" x14ac:dyDescent="0.25">
      <c r="A34" s="458"/>
      <c r="B34" s="319"/>
      <c r="C34" s="529"/>
      <c r="D34" s="529"/>
      <c r="E34" s="529"/>
      <c r="F34" s="458"/>
      <c r="G34" s="458"/>
      <c r="H34" s="458"/>
      <c r="I34" s="458"/>
      <c r="J34" s="458"/>
    </row>
    <row r="35" spans="1:12" hidden="1" x14ac:dyDescent="0.25">
      <c r="A35" s="458"/>
      <c r="B35" s="458"/>
      <c r="C35" s="458"/>
      <c r="D35" s="458"/>
      <c r="E35" s="458"/>
      <c r="F35" s="458"/>
      <c r="G35" s="458"/>
      <c r="H35" s="458"/>
      <c r="I35" s="458"/>
      <c r="J35" s="458"/>
    </row>
    <row r="36" spans="1:12" hidden="1" x14ac:dyDescent="0.25">
      <c r="A36" s="458"/>
      <c r="B36" s="319" t="s">
        <v>248</v>
      </c>
      <c r="C36" s="530">
        <f>'BY2025 Update'!D21+'BY2025 Update'!D22</f>
        <v>0</v>
      </c>
      <c r="D36" s="530">
        <f>'BY2025 Update'!D23</f>
        <v>0</v>
      </c>
      <c r="E36" s="530">
        <f>'BY2025 Update'!D24</f>
        <v>0</v>
      </c>
      <c r="G36" s="530">
        <f>'BY2025 Update'!D26</f>
        <v>0</v>
      </c>
      <c r="I36" s="458"/>
      <c r="J36" s="458"/>
    </row>
    <row r="37" spans="1:12" hidden="1" x14ac:dyDescent="0.25">
      <c r="A37" s="458"/>
      <c r="B37" s="319" t="s">
        <v>249</v>
      </c>
      <c r="C37" s="531">
        <f>'BY2025 Update'!I21+'BY2025 Update'!I22+C17</f>
        <v>0</v>
      </c>
      <c r="D37" s="530">
        <f>'BY2025 Update'!I23+D17</f>
        <v>0</v>
      </c>
      <c r="E37" s="530">
        <f>'BY2025 Update'!I24+E17</f>
        <v>0</v>
      </c>
      <c r="F37" s="532">
        <f>'BY2025 Update'!I25+F17</f>
        <v>0</v>
      </c>
      <c r="G37" s="532">
        <f>'BY2025 Update'!I26+G17</f>
        <v>0</v>
      </c>
      <c r="H37" s="458"/>
      <c r="I37" s="458"/>
      <c r="J37" s="458"/>
    </row>
    <row r="38" spans="1:12" hidden="1" x14ac:dyDescent="0.25">
      <c r="A38" s="458"/>
      <c r="B38" s="458"/>
      <c r="C38" s="458"/>
      <c r="D38" s="458"/>
      <c r="E38" s="458"/>
      <c r="F38" s="458"/>
      <c r="G38" s="458"/>
      <c r="H38" s="458"/>
      <c r="I38" s="458"/>
      <c r="J38" s="458"/>
    </row>
    <row r="39" spans="1:12" hidden="1" x14ac:dyDescent="0.25">
      <c r="A39" s="458"/>
      <c r="B39" s="319" t="s">
        <v>250</v>
      </c>
      <c r="C39" s="533">
        <f>IF(C32=0,0,C36/C32)</f>
        <v>0</v>
      </c>
      <c r="D39" s="534">
        <f>IF(D32=0,0,D36/D32)</f>
        <v>0</v>
      </c>
      <c r="E39" s="533">
        <f>IF(E33=0,0,E37/E33)</f>
        <v>0</v>
      </c>
      <c r="G39" s="533">
        <f>IF(G32=0,0,G36/G32)</f>
        <v>0</v>
      </c>
      <c r="I39" s="533"/>
      <c r="J39" s="458"/>
    </row>
    <row r="40" spans="1:12" hidden="1" x14ac:dyDescent="0.25">
      <c r="A40" s="458"/>
      <c r="B40" s="319" t="s">
        <v>251</v>
      </c>
      <c r="C40" s="533">
        <f>IF(C33=0,0,C37/C33)</f>
        <v>0</v>
      </c>
      <c r="D40" s="534">
        <f>IF(D33=0,0,D37/D33)</f>
        <v>0</v>
      </c>
      <c r="E40" s="534">
        <f>IF(E33=0,0,E37/E33)</f>
        <v>0</v>
      </c>
      <c r="F40" s="533">
        <f>IF(F33=0,0,F37/F33)</f>
        <v>0</v>
      </c>
      <c r="G40" s="533">
        <f>IF(G33=0,0,G37/G33)</f>
        <v>0</v>
      </c>
      <c r="H40" s="533"/>
      <c r="I40" s="533"/>
      <c r="J40" s="458"/>
    </row>
    <row r="41" spans="1:12" hidden="1" x14ac:dyDescent="0.25">
      <c r="A41" s="458"/>
      <c r="B41" s="458"/>
      <c r="C41" s="458"/>
      <c r="E41" s="458"/>
      <c r="F41" s="458"/>
      <c r="G41" s="458"/>
      <c r="H41" s="458"/>
      <c r="I41" s="458"/>
      <c r="J41" s="458"/>
    </row>
    <row r="42" spans="1:12" hidden="1" x14ac:dyDescent="0.25">
      <c r="A42" s="458"/>
      <c r="B42" s="319" t="s">
        <v>252</v>
      </c>
      <c r="C42" s="535">
        <f>'BY2025 Update'!C16/(1+'BY2025 Update'!C16)</f>
        <v>0.14529914529914531</v>
      </c>
      <c r="D42" s="535">
        <f>'BY2025 Update'!D16/(1+'BY2025 Update'!D16)</f>
        <v>0.14529914529914531</v>
      </c>
      <c r="E42" s="535">
        <f>'BY2025 Update'!E16/(1+'BY2025 Update'!E16)</f>
        <v>0.14529914529914531</v>
      </c>
      <c r="F42" s="535">
        <f>'BY2025 Update'!F16/(1+'BY2025 Update'!F16)</f>
        <v>0.14529914529914531</v>
      </c>
      <c r="G42" s="536">
        <f>'BY2025 Update'!G16/(1+'BY2025 Update'!G16)</f>
        <v>0.14529914529914531</v>
      </c>
      <c r="J42" s="458"/>
    </row>
    <row r="43" spans="1:12" hidden="1" x14ac:dyDescent="0.25">
      <c r="A43" s="458"/>
      <c r="B43" s="319" t="s">
        <v>253</v>
      </c>
      <c r="C43" s="536">
        <f>'BY2025 Update'!C17/(1+'BY2025 Update'!C17)</f>
        <v>0.14529914529914531</v>
      </c>
      <c r="D43" s="536">
        <f>'BY2025 Update'!D17/(1+'BY2025 Update'!D17)</f>
        <v>0.14529914529914531</v>
      </c>
      <c r="E43" s="536">
        <f>'BY2025 Update'!E17/(1+'BY2025 Update'!E17)</f>
        <v>0.14529914529914531</v>
      </c>
      <c r="F43" s="536">
        <f>'BY2025 Update'!F17/(1+'BY2025 Update'!F17)</f>
        <v>0.14529914529914531</v>
      </c>
      <c r="G43" s="536">
        <f>'BY2025 Update'!G17/(1+'BY2025 Update'!G17)</f>
        <v>0.14529914529914531</v>
      </c>
      <c r="H43" s="458"/>
      <c r="I43" s="458"/>
      <c r="J43" s="458"/>
    </row>
    <row r="44" spans="1:12" hidden="1" x14ac:dyDescent="0.25">
      <c r="A44" s="458"/>
      <c r="B44" s="458"/>
      <c r="C44" s="458"/>
      <c r="D44" s="458"/>
      <c r="E44" s="458"/>
      <c r="F44" s="458"/>
      <c r="G44" s="458"/>
      <c r="H44" s="458"/>
      <c r="I44" s="458"/>
      <c r="J44" s="458"/>
      <c r="K44" s="458"/>
      <c r="L44" s="458"/>
    </row>
    <row r="45" spans="1:12" hidden="1" x14ac:dyDescent="0.25">
      <c r="A45" s="458"/>
      <c r="B45" s="458"/>
      <c r="C45" s="458"/>
      <c r="D45" s="458"/>
      <c r="E45" s="497" t="s">
        <v>254</v>
      </c>
      <c r="F45" s="497" t="s">
        <v>255</v>
      </c>
      <c r="G45" s="458"/>
      <c r="H45" s="458"/>
      <c r="I45" s="458"/>
      <c r="J45" s="458"/>
      <c r="K45" s="458"/>
      <c r="L45" s="458"/>
    </row>
    <row r="46" spans="1:12" hidden="1" x14ac:dyDescent="0.25">
      <c r="A46" s="458" t="s">
        <v>256</v>
      </c>
      <c r="B46" s="463">
        <f>C33+D33</f>
        <v>0</v>
      </c>
      <c r="C46" s="537">
        <f>IF($B$50=0,0,B46/$B$50)</f>
        <v>0</v>
      </c>
      <c r="D46" s="537"/>
      <c r="E46" s="458"/>
      <c r="F46" s="458"/>
      <c r="G46" s="458"/>
      <c r="H46" s="458"/>
      <c r="I46" s="458"/>
      <c r="J46" s="458"/>
      <c r="K46" s="458"/>
      <c r="L46" s="458"/>
    </row>
    <row r="47" spans="1:12" hidden="1" x14ac:dyDescent="0.25">
      <c r="A47" s="458" t="s">
        <v>257</v>
      </c>
      <c r="B47" s="463">
        <f>E33</f>
        <v>0</v>
      </c>
      <c r="C47" s="537">
        <f t="shared" ref="C47:C49" si="0">IF($B$50=0,0,B47/$B$50)</f>
        <v>0</v>
      </c>
      <c r="D47" s="537"/>
      <c r="E47" s="485">
        <f>SUM(C46:C48)</f>
        <v>0</v>
      </c>
      <c r="F47" s="485">
        <f>C49</f>
        <v>0</v>
      </c>
      <c r="G47" s="458"/>
      <c r="H47" s="458"/>
      <c r="I47" s="458"/>
      <c r="J47" s="458"/>
      <c r="K47" s="458"/>
      <c r="L47" s="458"/>
    </row>
    <row r="48" spans="1:12" hidden="1" x14ac:dyDescent="0.25">
      <c r="A48" s="458" t="s">
        <v>258</v>
      </c>
      <c r="B48" s="463">
        <f>F33</f>
        <v>0</v>
      </c>
      <c r="C48" s="537">
        <f t="shared" si="0"/>
        <v>0</v>
      </c>
      <c r="D48" s="537"/>
      <c r="E48" s="458"/>
      <c r="F48" s="458"/>
      <c r="G48" s="458"/>
      <c r="H48" s="458"/>
      <c r="I48" s="458"/>
      <c r="J48" s="505"/>
      <c r="K48" s="458"/>
      <c r="L48" s="458"/>
    </row>
    <row r="49" spans="1:12" hidden="1" x14ac:dyDescent="0.25">
      <c r="A49" s="458" t="s">
        <v>259</v>
      </c>
      <c r="B49" s="463">
        <f>G33</f>
        <v>0</v>
      </c>
      <c r="C49" s="537">
        <f t="shared" si="0"/>
        <v>0</v>
      </c>
      <c r="D49" s="537"/>
      <c r="E49" s="458"/>
      <c r="F49" s="458"/>
      <c r="G49" s="458"/>
      <c r="H49" s="458"/>
      <c r="I49" s="458"/>
      <c r="J49" s="538"/>
      <c r="K49" s="458"/>
      <c r="L49" s="458"/>
    </row>
    <row r="50" spans="1:12" hidden="1" x14ac:dyDescent="0.25">
      <c r="A50" s="458" t="s">
        <v>260</v>
      </c>
      <c r="B50" s="463">
        <f>SUM(B46:B49)</f>
        <v>0</v>
      </c>
      <c r="C50" s="458"/>
      <c r="D50" s="458"/>
      <c r="E50" s="458"/>
      <c r="F50" s="458"/>
      <c r="G50" s="458"/>
      <c r="I50" s="458"/>
      <c r="J50" s="539" t="s">
        <v>261</v>
      </c>
      <c r="K50" s="458"/>
      <c r="L50" s="458"/>
    </row>
    <row r="51" spans="1:12" hidden="1" x14ac:dyDescent="0.25">
      <c r="A51" s="458"/>
      <c r="B51" s="458"/>
      <c r="C51" s="458"/>
      <c r="D51" s="458"/>
      <c r="E51" s="458"/>
      <c r="F51" s="458"/>
      <c r="G51" s="458"/>
      <c r="I51" s="458"/>
      <c r="J51" s="540">
        <v>0</v>
      </c>
      <c r="K51" s="458"/>
      <c r="L51" s="458"/>
    </row>
    <row r="52" spans="1:12" hidden="1" x14ac:dyDescent="0.25">
      <c r="A52" s="515" t="s">
        <v>262</v>
      </c>
      <c r="B52" s="458"/>
      <c r="C52" s="458"/>
      <c r="D52" s="458"/>
      <c r="E52" s="458"/>
      <c r="F52" s="458"/>
      <c r="G52" s="458"/>
      <c r="I52" s="458"/>
      <c r="J52" s="540">
        <v>0.1</v>
      </c>
      <c r="K52" s="458"/>
      <c r="L52" s="458"/>
    </row>
    <row r="53" spans="1:12" hidden="1" x14ac:dyDescent="0.25">
      <c r="A53" s="539" t="s">
        <v>263</v>
      </c>
      <c r="B53" s="539"/>
      <c r="C53" s="539" t="s">
        <v>264</v>
      </c>
      <c r="D53" s="539"/>
      <c r="E53" s="539" t="s">
        <v>265</v>
      </c>
      <c r="F53" s="539"/>
      <c r="G53" s="539" t="s">
        <v>266</v>
      </c>
      <c r="I53" s="539"/>
      <c r="J53" s="540">
        <v>0.2</v>
      </c>
      <c r="K53" s="458"/>
      <c r="L53" s="458"/>
    </row>
    <row r="54" spans="1:12" hidden="1" x14ac:dyDescent="0.25">
      <c r="A54" s="541">
        <v>7</v>
      </c>
      <c r="B54" s="539"/>
      <c r="C54" s="542">
        <v>-0.02</v>
      </c>
      <c r="D54" s="539"/>
      <c r="E54" s="539">
        <v>1</v>
      </c>
      <c r="F54" s="539"/>
      <c r="G54" s="539" t="s">
        <v>17</v>
      </c>
      <c r="I54" s="539"/>
      <c r="J54" s="540">
        <v>0.3</v>
      </c>
      <c r="K54" s="458"/>
      <c r="L54" s="458"/>
    </row>
    <row r="55" spans="1:12" hidden="1" x14ac:dyDescent="0.25">
      <c r="A55" s="541">
        <v>9</v>
      </c>
      <c r="B55" s="539"/>
      <c r="C55" s="542">
        <v>-0.01</v>
      </c>
      <c r="D55" s="539"/>
      <c r="E55" s="539">
        <v>2</v>
      </c>
      <c r="F55" s="539"/>
      <c r="G55" s="539" t="s">
        <v>267</v>
      </c>
      <c r="I55" s="539"/>
      <c r="J55" s="540">
        <v>0.4</v>
      </c>
      <c r="K55" s="458"/>
      <c r="L55" s="458"/>
    </row>
    <row r="56" spans="1:12" hidden="1" x14ac:dyDescent="0.25">
      <c r="A56" s="539"/>
      <c r="B56" s="539"/>
      <c r="C56" s="542">
        <v>0</v>
      </c>
      <c r="D56" s="539"/>
      <c r="E56" s="539"/>
      <c r="F56" s="539"/>
      <c r="G56" s="539"/>
      <c r="H56" s="539"/>
      <c r="I56" s="539"/>
      <c r="J56" s="540">
        <v>0.5</v>
      </c>
      <c r="K56" s="458"/>
      <c r="L56" s="458"/>
    </row>
    <row r="57" spans="1:12" hidden="1" x14ac:dyDescent="0.25">
      <c r="A57" s="539"/>
      <c r="B57" s="539"/>
      <c r="C57" s="542">
        <v>0.01</v>
      </c>
      <c r="D57" s="539"/>
      <c r="E57" s="539"/>
      <c r="F57" s="539"/>
      <c r="G57" s="539"/>
      <c r="H57" s="539"/>
      <c r="I57" s="539"/>
      <c r="J57" s="540">
        <v>0.6</v>
      </c>
    </row>
    <row r="58" spans="1:12" hidden="1" x14ac:dyDescent="0.25">
      <c r="A58" s="539"/>
      <c r="B58" s="539"/>
      <c r="C58" s="542">
        <v>0.02</v>
      </c>
      <c r="D58" s="539"/>
      <c r="E58" s="539"/>
      <c r="F58" s="539"/>
      <c r="G58" s="539"/>
      <c r="H58" s="539"/>
      <c r="I58" s="539"/>
      <c r="J58" s="540">
        <v>0.7</v>
      </c>
    </row>
    <row r="59" spans="1:12" hidden="1" x14ac:dyDescent="0.25">
      <c r="A59" s="539"/>
      <c r="B59" s="539"/>
      <c r="C59" s="539"/>
      <c r="D59" s="539"/>
      <c r="E59" s="539"/>
      <c r="F59" s="539"/>
      <c r="G59" s="539"/>
      <c r="H59" s="539"/>
      <c r="I59" s="539"/>
      <c r="J59" s="540">
        <v>0.8</v>
      </c>
    </row>
    <row r="60" spans="1:12" hidden="1" x14ac:dyDescent="0.25">
      <c r="A60" s="543" t="s">
        <v>268</v>
      </c>
      <c r="B60" s="539"/>
      <c r="C60" s="539"/>
      <c r="D60" s="539"/>
      <c r="E60" s="539"/>
      <c r="F60" s="539"/>
      <c r="G60" s="539"/>
      <c r="H60" s="539"/>
      <c r="I60" s="539"/>
      <c r="J60" s="540">
        <v>0.9</v>
      </c>
    </row>
    <row r="61" spans="1:12" hidden="1" x14ac:dyDescent="0.25">
      <c r="A61" s="595" t="s">
        <v>159</v>
      </c>
      <c r="B61" s="544"/>
      <c r="C61" s="544"/>
      <c r="D61" s="544"/>
      <c r="E61" s="544" t="s">
        <v>269</v>
      </c>
      <c r="F61" s="544"/>
      <c r="G61" s="544" t="s">
        <v>269</v>
      </c>
      <c r="H61" s="539"/>
      <c r="I61" s="544"/>
      <c r="J61" s="540">
        <v>1</v>
      </c>
    </row>
    <row r="62" spans="1:12" ht="26.25" hidden="1" x14ac:dyDescent="0.25">
      <c r="A62" s="544" t="s">
        <v>270</v>
      </c>
      <c r="B62" s="544" t="s">
        <v>271</v>
      </c>
      <c r="C62" s="544" t="s">
        <v>272</v>
      </c>
      <c r="D62" s="544" t="s">
        <v>273</v>
      </c>
      <c r="E62" s="545" t="s">
        <v>274</v>
      </c>
      <c r="F62" s="545" t="s">
        <v>275</v>
      </c>
      <c r="G62" s="545" t="s">
        <v>276</v>
      </c>
      <c r="H62" s="545" t="s">
        <v>277</v>
      </c>
      <c r="I62" s="546" t="s">
        <v>278</v>
      </c>
      <c r="J62" s="547"/>
    </row>
    <row r="63" spans="1:12" hidden="1" x14ac:dyDescent="0.25">
      <c r="A63" s="548" t="s">
        <v>279</v>
      </c>
      <c r="B63" s="549">
        <f>'INPUT  Pg1'!D54+'INPUT  Pg1'!D55</f>
        <v>0</v>
      </c>
      <c r="C63" s="550">
        <f>IF('INPUT  Pg1'!C15=0,0,('INPUT  Pg1'!G54*'INPUT  Pg1'!D54+'INPUT  Pg1'!G55*'INPUT  Pg1'!D55)/('INPUT  Pg1'!D54+'INPUT  Pg1'!D55))</f>
        <v>0</v>
      </c>
      <c r="D63" s="551">
        <f>B63*C63</f>
        <v>0</v>
      </c>
      <c r="E63" s="552">
        <f>0.74*'BY2025 Update'!C8+0.26*'BY2025 Update'!D8</f>
        <v>1546.1270000000002</v>
      </c>
      <c r="F63" s="553">
        <f>0.74*1+0.26*F64</f>
        <v>1.0083199999999999</v>
      </c>
      <c r="G63" s="552">
        <f>E63*F63</f>
        <v>1558.9907766399999</v>
      </c>
      <c r="H63" s="554">
        <f>G63-E63</f>
        <v>12.863776639999742</v>
      </c>
      <c r="I63" s="555">
        <f>H63*D63</f>
        <v>0</v>
      </c>
      <c r="J63" s="547"/>
    </row>
    <row r="64" spans="1:12" hidden="1" x14ac:dyDescent="0.25">
      <c r="A64" s="548" t="s">
        <v>219</v>
      </c>
      <c r="B64" s="549">
        <f>'INPUT  Pg1'!D56</f>
        <v>0</v>
      </c>
      <c r="C64" s="550">
        <f>'INPUT  Pg1'!G55</f>
        <v>0</v>
      </c>
      <c r="D64" s="551">
        <f t="shared" ref="D64:D65" si="1">B64*C64</f>
        <v>0</v>
      </c>
      <c r="E64" s="552">
        <f>'BY2025 Update'!D8</f>
        <v>529.33000000000004</v>
      </c>
      <c r="F64" s="556">
        <f>(1.023+1.041)/2</f>
        <v>1.032</v>
      </c>
      <c r="G64" s="552">
        <f>E64*F64</f>
        <v>546.26856000000009</v>
      </c>
      <c r="H64" s="554">
        <f>G64-E64</f>
        <v>16.938560000000052</v>
      </c>
      <c r="I64" s="555">
        <f t="shared" ref="I64:I67" si="2">H64*D64</f>
        <v>0</v>
      </c>
    </row>
    <row r="65" spans="1:10" hidden="1" x14ac:dyDescent="0.25">
      <c r="A65" s="548" t="s">
        <v>280</v>
      </c>
      <c r="B65" s="549">
        <f>'INPUT  Pg1'!D57+'INPUT  Pg1'!D58</f>
        <v>0</v>
      </c>
      <c r="C65" s="550">
        <f>'INPUT  Pg1'!G57</f>
        <v>0</v>
      </c>
      <c r="D65" s="551">
        <f t="shared" si="1"/>
        <v>0</v>
      </c>
      <c r="E65" s="552">
        <f>'BY2025 Update'!D8</f>
        <v>529.33000000000004</v>
      </c>
      <c r="F65" s="556">
        <f>(1.023+1.041)/2</f>
        <v>1.032</v>
      </c>
      <c r="G65" s="557">
        <f>E65*F65</f>
        <v>546.26856000000009</v>
      </c>
      <c r="H65" s="554">
        <f>G65-E65</f>
        <v>16.938560000000052</v>
      </c>
      <c r="I65" s="555">
        <f t="shared" si="2"/>
        <v>0</v>
      </c>
    </row>
    <row r="66" spans="1:10" hidden="1" x14ac:dyDescent="0.25">
      <c r="A66" s="548" t="s">
        <v>281</v>
      </c>
      <c r="B66" s="549">
        <f>'INPUT  Pg1'!D59</f>
        <v>0</v>
      </c>
      <c r="C66" s="550">
        <f>'INPUT  Pg1'!G59</f>
        <v>1</v>
      </c>
      <c r="D66" s="551">
        <f>B66*C66</f>
        <v>0</v>
      </c>
      <c r="E66" s="557">
        <f>'BY2025 Update'!F8</f>
        <v>740.63</v>
      </c>
      <c r="F66" s="556">
        <f>(1.005+1.01)/2</f>
        <v>1.0074999999999998</v>
      </c>
      <c r="G66" s="557">
        <f>E66*F66</f>
        <v>746.18472499999984</v>
      </c>
      <c r="H66" s="554">
        <f>G66-E66</f>
        <v>5.5547249999998485</v>
      </c>
      <c r="I66" s="555">
        <f t="shared" si="2"/>
        <v>0</v>
      </c>
      <c r="J66" s="539"/>
    </row>
    <row r="67" spans="1:10" ht="15.75" hidden="1" thickBot="1" x14ac:dyDescent="0.3">
      <c r="A67" s="558" t="s">
        <v>118</v>
      </c>
      <c r="B67" s="549">
        <f>'INPUT  Pg1'!D60</f>
        <v>0</v>
      </c>
      <c r="C67" s="550">
        <f>'INPUT  Pg1'!G60</f>
        <v>0</v>
      </c>
      <c r="D67" s="551">
        <f>B67*C67</f>
        <v>0</v>
      </c>
      <c r="E67" s="557">
        <f>'BY2025 Update'!G8</f>
        <v>1473.53</v>
      </c>
      <c r="F67" s="559">
        <f>AVERAGE(F63,F65,F66)</f>
        <v>1.0159399999999998</v>
      </c>
      <c r="G67" s="552">
        <f>E67*F67</f>
        <v>1497.0180681999998</v>
      </c>
      <c r="H67" s="554">
        <f>G67-E67</f>
        <v>23.488068199999816</v>
      </c>
      <c r="I67" s="555">
        <f t="shared" si="2"/>
        <v>0</v>
      </c>
    </row>
    <row r="68" spans="1:10" ht="15.75" hidden="1" thickTop="1" x14ac:dyDescent="0.25">
      <c r="A68" s="549"/>
      <c r="B68" s="549"/>
      <c r="C68" s="549"/>
      <c r="D68" s="549"/>
      <c r="E68" s="560"/>
      <c r="F68" s="561"/>
      <c r="G68" s="560"/>
      <c r="H68" s="554"/>
      <c r="I68" s="562"/>
      <c r="J68" s="563"/>
    </row>
    <row r="69" spans="1:10" hidden="1" x14ac:dyDescent="0.25">
      <c r="A69" s="564" t="s">
        <v>402</v>
      </c>
      <c r="B69" s="549"/>
      <c r="C69" s="549"/>
      <c r="D69" s="551">
        <f>SUM(D63:D67)</f>
        <v>0</v>
      </c>
      <c r="E69" s="549"/>
      <c r="F69" s="549"/>
      <c r="G69" s="549"/>
      <c r="H69" s="557" t="e">
        <f>I69/D69</f>
        <v>#DIV/0!</v>
      </c>
      <c r="I69" s="565">
        <f>SUM(I63:I67)</f>
        <v>0</v>
      </c>
    </row>
    <row r="70" spans="1:10" hidden="1" x14ac:dyDescent="0.25"/>
    <row r="71" spans="1:10" hidden="1" x14ac:dyDescent="0.25">
      <c r="A71" s="595" t="s">
        <v>403</v>
      </c>
      <c r="B71" s="544"/>
      <c r="C71" s="544"/>
      <c r="D71" s="544"/>
      <c r="E71" s="544" t="s">
        <v>406</v>
      </c>
      <c r="F71" s="544"/>
      <c r="G71" s="544" t="s">
        <v>406</v>
      </c>
      <c r="H71" s="539"/>
      <c r="I71" s="544"/>
      <c r="J71" s="540">
        <v>1</v>
      </c>
    </row>
    <row r="72" spans="1:10" ht="26.25" hidden="1" x14ac:dyDescent="0.25">
      <c r="A72" s="544" t="s">
        <v>270</v>
      </c>
      <c r="B72" s="544" t="s">
        <v>271</v>
      </c>
      <c r="C72" s="544" t="s">
        <v>272</v>
      </c>
      <c r="D72" s="544" t="s">
        <v>405</v>
      </c>
      <c r="E72" s="545" t="s">
        <v>408</v>
      </c>
      <c r="F72" s="545" t="s">
        <v>275</v>
      </c>
      <c r="G72" s="545" t="s">
        <v>407</v>
      </c>
      <c r="H72" s="545" t="s">
        <v>277</v>
      </c>
      <c r="I72" s="546" t="s">
        <v>278</v>
      </c>
      <c r="J72" s="547"/>
    </row>
    <row r="73" spans="1:10" hidden="1" x14ac:dyDescent="0.25">
      <c r="A73" s="548" t="s">
        <v>279</v>
      </c>
      <c r="B73" s="549">
        <f>'INPUT  Pg1'!D54+'INPUT  Pg1'!D55</f>
        <v>0</v>
      </c>
      <c r="C73" s="550">
        <f>IF('INPUT  Pg1'!C15=0,0,('INPUT  Pg1'!G54*'INPUT  Pg1'!D54+'INPUT  Pg1'!G55*'INPUT  Pg1'!D55)/('INPUT  Pg1'!D54+'INPUT  Pg1'!D55))</f>
        <v>0</v>
      </c>
      <c r="D73" s="551">
        <f>B73*(1-C73)</f>
        <v>0</v>
      </c>
      <c r="E73" s="552">
        <f>0.74*'BY2025 Update'!C7+0.26*'BY2025 Update'!D7</f>
        <v>1900.3568</v>
      </c>
      <c r="F73" s="553">
        <f>0.74*1+0.26*F74</f>
        <v>1.0083199999999999</v>
      </c>
      <c r="G73" s="552">
        <f>E73*F73</f>
        <v>1916.1677685759998</v>
      </c>
      <c r="H73" s="554">
        <f>G73-E73</f>
        <v>15.810968575999823</v>
      </c>
      <c r="I73" s="555">
        <f t="shared" ref="I73:I77" si="3">H73*D73</f>
        <v>0</v>
      </c>
      <c r="J73" s="547"/>
    </row>
    <row r="74" spans="1:10" hidden="1" x14ac:dyDescent="0.25">
      <c r="A74" s="548" t="s">
        <v>219</v>
      </c>
      <c r="B74" s="549">
        <f>'INPUT  Pg1'!D56</f>
        <v>0</v>
      </c>
      <c r="C74" s="550">
        <f>'INPUT  Pg1'!G55</f>
        <v>0</v>
      </c>
      <c r="D74" s="551">
        <f t="shared" ref="D74:D77" si="4">B74*(1-C74)</f>
        <v>0</v>
      </c>
      <c r="E74" s="552">
        <f>'BY2025 Update'!D7</f>
        <v>500.41</v>
      </c>
      <c r="F74" s="556">
        <f>(1.023+1.041)/2</f>
        <v>1.032</v>
      </c>
      <c r="G74" s="552">
        <f>E74*F74</f>
        <v>516.42312000000004</v>
      </c>
      <c r="H74" s="554">
        <f>G74-E74</f>
        <v>16.013120000000015</v>
      </c>
      <c r="I74" s="555">
        <f t="shared" si="3"/>
        <v>0</v>
      </c>
    </row>
    <row r="75" spans="1:10" hidden="1" x14ac:dyDescent="0.25">
      <c r="A75" s="548" t="s">
        <v>280</v>
      </c>
      <c r="B75" s="549">
        <f>'INPUT  Pg1'!D57+'INPUT  Pg1'!D58</f>
        <v>0</v>
      </c>
      <c r="C75" s="550">
        <f>'INPUT  Pg1'!G57</f>
        <v>0</v>
      </c>
      <c r="D75" s="551">
        <f t="shared" si="4"/>
        <v>0</v>
      </c>
      <c r="E75" s="552">
        <f>'BY2025 Update'!D7</f>
        <v>500.41</v>
      </c>
      <c r="F75" s="556">
        <f>(1.023+1.041)/2</f>
        <v>1.032</v>
      </c>
      <c r="G75" s="557">
        <f>E75*F75</f>
        <v>516.42312000000004</v>
      </c>
      <c r="H75" s="554">
        <f>G75-E75</f>
        <v>16.013120000000015</v>
      </c>
      <c r="I75" s="555">
        <f t="shared" si="3"/>
        <v>0</v>
      </c>
    </row>
    <row r="76" spans="1:10" hidden="1" x14ac:dyDescent="0.25">
      <c r="A76" s="548" t="s">
        <v>281</v>
      </c>
      <c r="B76" s="549">
        <f>'INPUT  Pg1'!D59</f>
        <v>0</v>
      </c>
      <c r="C76" s="550">
        <f>'INPUT  Pg1'!G59</f>
        <v>1</v>
      </c>
      <c r="D76" s="551">
        <f t="shared" si="4"/>
        <v>0</v>
      </c>
      <c r="E76" s="557">
        <f>'BY2025 Update'!F7</f>
        <v>0</v>
      </c>
      <c r="F76" s="556">
        <f>(1.005+1.01)/2</f>
        <v>1.0074999999999998</v>
      </c>
      <c r="G76" s="557">
        <f>E76*F76</f>
        <v>0</v>
      </c>
      <c r="H76" s="554">
        <f>G76-E76</f>
        <v>0</v>
      </c>
      <c r="I76" s="555">
        <f t="shared" si="3"/>
        <v>0</v>
      </c>
      <c r="J76" s="539"/>
    </row>
    <row r="77" spans="1:10" ht="15.75" hidden="1" thickBot="1" x14ac:dyDescent="0.3">
      <c r="A77" s="558" t="s">
        <v>118</v>
      </c>
      <c r="B77" s="549">
        <f>'INPUT  Pg1'!D60</f>
        <v>0</v>
      </c>
      <c r="C77" s="550">
        <f>'INPUT  Pg1'!G60</f>
        <v>0</v>
      </c>
      <c r="D77" s="551">
        <f t="shared" si="4"/>
        <v>0</v>
      </c>
      <c r="E77" s="557">
        <f>'BY2025 Update'!G7</f>
        <v>1838.79</v>
      </c>
      <c r="F77" s="559">
        <f>AVERAGE(F73,F75,F76)</f>
        <v>1.0159399999999998</v>
      </c>
      <c r="G77" s="552">
        <f>E77*F77</f>
        <v>1868.1003125999996</v>
      </c>
      <c r="H77" s="554">
        <f>G77-E77</f>
        <v>29.310312599999634</v>
      </c>
      <c r="I77" s="555">
        <f t="shared" si="3"/>
        <v>0</v>
      </c>
    </row>
    <row r="78" spans="1:10" ht="15.75" hidden="1" thickTop="1" x14ac:dyDescent="0.25">
      <c r="A78" s="549"/>
      <c r="B78" s="549"/>
      <c r="C78" s="549"/>
      <c r="D78" s="549"/>
      <c r="E78" s="560"/>
      <c r="F78" s="561"/>
      <c r="G78" s="560"/>
      <c r="H78" s="554"/>
      <c r="I78" s="562"/>
      <c r="J78" s="563"/>
    </row>
    <row r="79" spans="1:10" hidden="1" x14ac:dyDescent="0.25">
      <c r="A79" s="564" t="s">
        <v>404</v>
      </c>
      <c r="B79" s="549"/>
      <c r="C79" s="549"/>
      <c r="D79" s="551">
        <f>SUM(D73:D77)</f>
        <v>0</v>
      </c>
      <c r="E79" s="549"/>
      <c r="F79" s="549"/>
      <c r="G79" s="549"/>
      <c r="H79" s="557" t="e">
        <f>I79/D79</f>
        <v>#DIV/0!</v>
      </c>
      <c r="I79" s="565">
        <f>SUM(I73:I77)</f>
        <v>0</v>
      </c>
    </row>
    <row r="80" spans="1:10" hidden="1" x14ac:dyDescent="0.25"/>
    <row r="81" spans="1:1" hidden="1" x14ac:dyDescent="0.25"/>
    <row r="82" spans="1:1" hidden="1" x14ac:dyDescent="0.25"/>
    <row r="83" spans="1:1" hidden="1" x14ac:dyDescent="0.25">
      <c r="A83" s="566" t="s">
        <v>282</v>
      </c>
    </row>
  </sheetData>
  <sheetProtection algorithmName="SHA-512" hashValue="MxZiVCv/eA67fiXV0ZiWg2Bp2jYeIE5V8yM6J4R66UUuj3wyDLWVNui2WfnXtgzrlaRQt/K64zRpAO5hkI9MHw==" saltValue="/6fKKWxbp8eMxADKsDmv/w==" spinCount="100000" sheet="1" selectLockedCells="1"/>
  <printOptions gridLines="1"/>
  <pageMargins left="0.75" right="0.75" top="1" bottom="1" header="0.5" footer="0.5"/>
  <pageSetup paperSize="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G33"/>
  <sheetViews>
    <sheetView zoomScale="90" zoomScaleNormal="90" workbookViewId="0">
      <selection activeCell="A100" sqref="A100"/>
    </sheetView>
  </sheetViews>
  <sheetFormatPr defaultRowHeight="15" x14ac:dyDescent="0.25"/>
  <cols>
    <col min="1" max="1" width="48.5703125" customWidth="1"/>
    <col min="2" max="2" width="16.7109375" customWidth="1"/>
    <col min="3" max="3" width="16.42578125" customWidth="1"/>
    <col min="4" max="4" width="19" customWidth="1"/>
  </cols>
  <sheetData>
    <row r="1" spans="1:7" ht="31.5" x14ac:dyDescent="0.25">
      <c r="A1" s="125" t="s">
        <v>438</v>
      </c>
      <c r="B1" s="145" t="s">
        <v>283</v>
      </c>
      <c r="C1" s="146" t="s">
        <v>284</v>
      </c>
      <c r="D1" s="147" t="s">
        <v>285</v>
      </c>
      <c r="E1" s="30"/>
    </row>
    <row r="2" spans="1:7" x14ac:dyDescent="0.25">
      <c r="A2" s="126" t="s">
        <v>286</v>
      </c>
      <c r="B2" s="186">
        <f>'INPUT  Pg1'!E24</f>
        <v>0</v>
      </c>
      <c r="C2" s="129">
        <f>IF(B2=0,0,(D2*B2))</f>
        <v>0</v>
      </c>
      <c r="D2" s="130">
        <f>IF('INPUT  Pg1'!E24=0,0,3907*218*(0.55+27*'INPUT  Pg1'!C29/'INPUT  Pg1'!G24)/(218*'INPUT  Pg1'!C29*134.4)+79.99+'INPUT  Pg1'!C40*(B2/SUM(B6:B7))/B2)</f>
        <v>0</v>
      </c>
      <c r="E2" s="30"/>
    </row>
    <row r="3" spans="1:7" x14ac:dyDescent="0.25">
      <c r="A3" s="126" t="s">
        <v>287</v>
      </c>
      <c r="B3" s="185">
        <f>'INPUT  Pg1'!E25</f>
        <v>0</v>
      </c>
      <c r="C3" s="127">
        <f>+D3*B3</f>
        <v>0</v>
      </c>
      <c r="D3" s="128">
        <f>IF('INPUT  Pg1'!E25=0,0,9027*(6.11+(63.47+42.37*'INPUT  Pg1'!C29)/('INPUT  Pg1'!G25/0.46))/(68.08+827*'INPUT  Pg1'!C29)+79.99+'INPUT  Pg1'!C40*(B3/SUM(B6:B7))/B3)</f>
        <v>0</v>
      </c>
      <c r="E3" s="30"/>
    </row>
    <row r="4" spans="1:7" x14ac:dyDescent="0.25">
      <c r="A4" s="131" t="s">
        <v>288</v>
      </c>
      <c r="B4" s="187">
        <f>'INPUT  Pg1'!C21</f>
        <v>0</v>
      </c>
      <c r="C4" s="132">
        <f>IF(B4=0,0,'INPUT  Pg1'!C37*B4+'INPUT  Pg1'!C40*(B4/SUM(B6:B7)))</f>
        <v>0</v>
      </c>
      <c r="D4" s="133">
        <f>IF(B4=0,0,(C4/B4))</f>
        <v>0</v>
      </c>
      <c r="E4" s="30"/>
      <c r="G4" s="9"/>
    </row>
    <row r="5" spans="1:7" x14ac:dyDescent="0.25">
      <c r="A5" s="131" t="s">
        <v>289</v>
      </c>
      <c r="B5" s="187">
        <f>'INPUT  Pg1'!C22</f>
        <v>0</v>
      </c>
      <c r="C5" s="132">
        <f>IF(B5=0,0,'INPUT  Pg1'!C38*B5+'INPUT  Pg1'!C40*(B5/SUM(B6:B7)))</f>
        <v>0</v>
      </c>
      <c r="D5" s="134">
        <f>IF(C5=0,0,(C5/B5))</f>
        <v>0</v>
      </c>
      <c r="E5" s="30"/>
      <c r="G5" s="8"/>
    </row>
    <row r="6" spans="1:7" x14ac:dyDescent="0.25">
      <c r="A6" s="135" t="s">
        <v>290</v>
      </c>
      <c r="B6" s="188">
        <f>SUM(B2:B3)</f>
        <v>0</v>
      </c>
      <c r="C6" s="136">
        <f>SUM(C2:C3)</f>
        <v>0</v>
      </c>
      <c r="D6" s="143">
        <f>IF(C6=0,0,(C6/B6))</f>
        <v>0</v>
      </c>
      <c r="E6" s="30"/>
    </row>
    <row r="7" spans="1:7" x14ac:dyDescent="0.25">
      <c r="A7" s="138" t="s">
        <v>291</v>
      </c>
      <c r="B7" s="189">
        <f>B4+B5</f>
        <v>0</v>
      </c>
      <c r="C7" s="139">
        <f>SUM(C4:C5)</f>
        <v>0</v>
      </c>
      <c r="D7" s="245">
        <f>IF(C7=0,0,(C7/B7))</f>
        <v>0</v>
      </c>
      <c r="E7" s="30"/>
    </row>
    <row r="8" spans="1:7" x14ac:dyDescent="0.25">
      <c r="A8" s="135" t="s">
        <v>292</v>
      </c>
      <c r="B8" s="188">
        <f>+B6+B7</f>
        <v>0</v>
      </c>
      <c r="C8" s="136">
        <f>C6+C7</f>
        <v>0</v>
      </c>
      <c r="D8" s="143">
        <f>IF(C8=0,0,(C8/B8))</f>
        <v>0</v>
      </c>
      <c r="E8" s="30"/>
    </row>
    <row r="9" spans="1:7" x14ac:dyDescent="0.25">
      <c r="A9" s="54" t="s">
        <v>293</v>
      </c>
      <c r="B9" s="185">
        <f>'OG Heli  INPUT'!D52</f>
        <v>0</v>
      </c>
      <c r="C9" s="129">
        <f>'OG Heli  INPUT'!D53</f>
        <v>0</v>
      </c>
      <c r="D9" s="140">
        <f>IF('OG Heli  INPUT'!D52=0,0,'OG Heli  INPUT'!D54)</f>
        <v>0</v>
      </c>
      <c r="E9" s="30"/>
    </row>
    <row r="10" spans="1:7" x14ac:dyDescent="0.25">
      <c r="A10" s="141" t="s">
        <v>294</v>
      </c>
      <c r="B10" s="190">
        <f>'INPUT  Pg1'!C20</f>
        <v>0</v>
      </c>
      <c r="C10" s="132">
        <f>IF(B10=0,0,(B10*'INPUT  Pg1'!C39))</f>
        <v>0</v>
      </c>
      <c r="D10" s="134">
        <f t="shared" ref="D10:D24" si="0">IF(C10=0,0,(C10/B10))</f>
        <v>0</v>
      </c>
      <c r="E10" s="30"/>
    </row>
    <row r="11" spans="1:7" x14ac:dyDescent="0.25">
      <c r="A11" s="135" t="s">
        <v>295</v>
      </c>
      <c r="B11" s="188">
        <f>B8+B9+B10</f>
        <v>0</v>
      </c>
      <c r="C11" s="136">
        <f>C8+C9+C10</f>
        <v>0</v>
      </c>
      <c r="D11" s="143">
        <f t="shared" si="0"/>
        <v>0</v>
      </c>
      <c r="E11" s="30"/>
    </row>
    <row r="12" spans="1:7" x14ac:dyDescent="0.25">
      <c r="A12" s="54" t="s">
        <v>296</v>
      </c>
      <c r="B12" s="185">
        <f>'INPUT  Pg1'!C31</f>
        <v>0</v>
      </c>
      <c r="C12" s="142">
        <f>IF('INPUT  Pg1'!C31=0,0,B12*D12)</f>
        <v>0</v>
      </c>
      <c r="D12" s="137">
        <f>IF(B12=0,0,'INPUT  Pg1'!C33*118/4.11)</f>
        <v>0</v>
      </c>
      <c r="E12" s="30"/>
    </row>
    <row r="13" spans="1:7" x14ac:dyDescent="0.25">
      <c r="A13" s="131" t="s">
        <v>297</v>
      </c>
      <c r="B13" s="190">
        <f>'INPUT  Pg1'!C32</f>
        <v>0</v>
      </c>
      <c r="C13" s="132">
        <f>IF('INPUT  Pg1'!C32=0,0,B13*D13)</f>
        <v>0</v>
      </c>
      <c r="D13" s="134">
        <f>IF(B13=0,0,'INPUT  Pg1'!C33*118/4.46)</f>
        <v>0</v>
      </c>
      <c r="E13" s="30"/>
    </row>
    <row r="14" spans="1:7" x14ac:dyDescent="0.25">
      <c r="A14" s="135" t="s">
        <v>298</v>
      </c>
      <c r="B14" s="188">
        <f>+B12+B13</f>
        <v>0</v>
      </c>
      <c r="C14" s="136">
        <f>C12+C13</f>
        <v>0</v>
      </c>
      <c r="D14" s="143">
        <f t="shared" si="0"/>
        <v>0</v>
      </c>
      <c r="E14" s="30"/>
    </row>
    <row r="15" spans="1:7" x14ac:dyDescent="0.25">
      <c r="A15" s="126" t="s">
        <v>299</v>
      </c>
      <c r="B15" s="191">
        <f>'INPUT  Pg1'!C34</f>
        <v>0</v>
      </c>
      <c r="C15" s="129">
        <f>'INPUT  Pg1'!C36</f>
        <v>0</v>
      </c>
      <c r="D15" s="137">
        <f>IF(B15=0,0,(C15/B15))</f>
        <v>0</v>
      </c>
      <c r="E15" s="30"/>
    </row>
    <row r="16" spans="1:7" x14ac:dyDescent="0.25">
      <c r="A16" s="126" t="s">
        <v>300</v>
      </c>
      <c r="B16" s="185">
        <f>B14</f>
        <v>0</v>
      </c>
      <c r="C16" s="129">
        <f>'INPUT  Pg1'!C45</f>
        <v>0</v>
      </c>
      <c r="D16" s="137">
        <f t="shared" si="0"/>
        <v>0</v>
      </c>
      <c r="E16" s="30"/>
    </row>
    <row r="17" spans="1:5" x14ac:dyDescent="0.25">
      <c r="A17" s="126" t="s">
        <v>301</v>
      </c>
      <c r="B17" s="185">
        <f>B14</f>
        <v>0</v>
      </c>
      <c r="C17" s="129">
        <f>'INPUT  Pg1'!C46</f>
        <v>0</v>
      </c>
      <c r="D17" s="137">
        <f t="shared" si="0"/>
        <v>0</v>
      </c>
      <c r="E17" s="30"/>
    </row>
    <row r="18" spans="1:5" x14ac:dyDescent="0.25">
      <c r="A18" s="126" t="s">
        <v>302</v>
      </c>
      <c r="B18" s="185">
        <f>B14</f>
        <v>0</v>
      </c>
      <c r="C18" s="129">
        <f>'INPUT  Pg1'!C44</f>
        <v>0</v>
      </c>
      <c r="D18" s="137">
        <f t="shared" si="0"/>
        <v>0</v>
      </c>
      <c r="E18" s="30"/>
    </row>
    <row r="19" spans="1:5" x14ac:dyDescent="0.25">
      <c r="A19" s="126" t="s">
        <v>303</v>
      </c>
      <c r="B19" s="185">
        <f>B11</f>
        <v>0</v>
      </c>
      <c r="C19" s="129">
        <f>IF('INPUT  Pg1'!C41=0,0,('INPUT  Pg1'!C41))</f>
        <v>0</v>
      </c>
      <c r="D19" s="137">
        <f t="shared" si="0"/>
        <v>0</v>
      </c>
      <c r="E19" s="30"/>
    </row>
    <row r="20" spans="1:5" x14ac:dyDescent="0.25">
      <c r="A20" s="126" t="s">
        <v>304</v>
      </c>
      <c r="B20" s="185">
        <f>B11</f>
        <v>0</v>
      </c>
      <c r="C20" s="129">
        <f>'INPUT  Pg1'!C50</f>
        <v>0</v>
      </c>
      <c r="D20" s="137">
        <f t="shared" si="0"/>
        <v>0</v>
      </c>
      <c r="E20" s="30"/>
    </row>
    <row r="21" spans="1:5" x14ac:dyDescent="0.25">
      <c r="A21" s="135" t="s">
        <v>305</v>
      </c>
      <c r="B21" s="246">
        <f>B11</f>
        <v>0</v>
      </c>
      <c r="C21" s="136">
        <f>C20+C19</f>
        <v>0</v>
      </c>
      <c r="D21" s="143">
        <f t="shared" si="0"/>
        <v>0</v>
      </c>
      <c r="E21" s="30"/>
    </row>
    <row r="22" spans="1:5" x14ac:dyDescent="0.25">
      <c r="A22" s="135" t="s">
        <v>306</v>
      </c>
      <c r="B22" s="188">
        <f>B11</f>
        <v>0</v>
      </c>
      <c r="C22" s="136">
        <f>C11+C14+C15+C16+C17+C18+C21</f>
        <v>0</v>
      </c>
      <c r="D22" s="143">
        <f t="shared" si="0"/>
        <v>0</v>
      </c>
      <c r="E22" s="30"/>
    </row>
    <row r="23" spans="1:5" x14ac:dyDescent="0.25">
      <c r="A23" s="126" t="s">
        <v>307</v>
      </c>
      <c r="B23" s="185">
        <f>B11</f>
        <v>0</v>
      </c>
      <c r="C23" s="129">
        <f>'INPUT  Pg1'!C42</f>
        <v>0</v>
      </c>
      <c r="D23" s="137">
        <f t="shared" si="0"/>
        <v>0</v>
      </c>
      <c r="E23" s="30"/>
    </row>
    <row r="24" spans="1:5" x14ac:dyDescent="0.25">
      <c r="A24" s="126" t="s">
        <v>308</v>
      </c>
      <c r="B24" s="185">
        <f>B11</f>
        <v>0</v>
      </c>
      <c r="C24" s="129">
        <f>'INPUT  Pg1'!C43</f>
        <v>0</v>
      </c>
      <c r="D24" s="137">
        <f t="shared" si="0"/>
        <v>0</v>
      </c>
      <c r="E24" s="30"/>
    </row>
    <row r="25" spans="1:5" x14ac:dyDescent="0.25">
      <c r="A25" s="135" t="s">
        <v>309</v>
      </c>
      <c r="B25" s="192">
        <f>B11</f>
        <v>0</v>
      </c>
      <c r="C25" s="144">
        <f>C24+C23+C22</f>
        <v>0</v>
      </c>
      <c r="D25" s="143">
        <f>D24+D23+D22</f>
        <v>0</v>
      </c>
      <c r="E25" s="30"/>
    </row>
    <row r="27" spans="1:5" x14ac:dyDescent="0.25">
      <c r="D27" s="9"/>
    </row>
    <row r="31" spans="1:5" x14ac:dyDescent="0.25">
      <c r="B31" s="10"/>
      <c r="D31" s="10"/>
      <c r="E31" s="10"/>
    </row>
    <row r="32" spans="1:5" x14ac:dyDescent="0.25">
      <c r="D32" s="10"/>
      <c r="E32" s="10"/>
    </row>
    <row r="33" spans="2:5" x14ac:dyDescent="0.25">
      <c r="B33" s="10"/>
      <c r="C33" s="11"/>
      <c r="D33" s="12"/>
      <c r="E33" s="10"/>
    </row>
  </sheetData>
  <sheetProtection algorithmName="SHA-512" hashValue="rO1Lbscn3mQk51AlAMleY40W2FzUK51D2pBtGg/NvkNP8jkd/7R3yGXz7Gw0O9WAO4s8z8kbDnLtcNEXQBdzQg==" saltValue="oRKa2efe/fL0wNlIJpuq+w==" spinCount="100000" sheet="1" objects="1" scenarios="1"/>
  <printOptions gridLines="1"/>
  <pageMargins left="0.75" right="0.75" top="1" bottom="1" header="0.5" footer="0.5"/>
  <pageSetup paperSize="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J54"/>
  <sheetViews>
    <sheetView zoomScale="90" zoomScaleNormal="90" workbookViewId="0">
      <selection activeCell="A100" sqref="A100"/>
    </sheetView>
  </sheetViews>
  <sheetFormatPr defaultColWidth="8.7109375" defaultRowHeight="15" x14ac:dyDescent="0.25"/>
  <cols>
    <col min="1" max="1" width="5.42578125" style="149" customWidth="1"/>
    <col min="2" max="2" width="34.7109375" customWidth="1"/>
    <col min="3" max="3" width="21.28515625" customWidth="1"/>
    <col min="4" max="4" width="19.7109375" customWidth="1"/>
    <col min="5" max="5" width="20.7109375" customWidth="1"/>
    <col min="6" max="6" width="21.5703125" customWidth="1"/>
    <col min="7" max="7" width="21.28515625" customWidth="1"/>
    <col min="8" max="8" width="19.7109375" customWidth="1"/>
    <col min="9" max="9" width="16.5703125" customWidth="1"/>
    <col min="10" max="10" width="13.28515625" customWidth="1"/>
  </cols>
  <sheetData>
    <row r="1" spans="1:8" ht="38.65" customHeight="1" x14ac:dyDescent="0.25">
      <c r="A1" s="57" t="s">
        <v>310</v>
      </c>
      <c r="B1" s="34" t="s">
        <v>311</v>
      </c>
      <c r="C1" s="35"/>
      <c r="D1" s="35"/>
      <c r="E1" s="50" t="s">
        <v>8</v>
      </c>
      <c r="F1" s="37">
        <f>'INPUT  Pg1'!C3</f>
        <v>0</v>
      </c>
      <c r="G1" s="38" t="s">
        <v>312</v>
      </c>
      <c r="H1" s="49" t="str">
        <f>'INPUT  Pg1'!F1</f>
        <v>2026 Q1</v>
      </c>
    </row>
    <row r="2" spans="1:8" ht="9.4" customHeight="1" x14ac:dyDescent="0.25">
      <c r="A2" s="148"/>
      <c r="B2" s="35"/>
      <c r="C2" s="35"/>
      <c r="D2" s="35"/>
      <c r="E2" s="36"/>
      <c r="F2" s="36"/>
      <c r="G2" s="30"/>
      <c r="H2" s="35"/>
    </row>
    <row r="3" spans="1:8" x14ac:dyDescent="0.25">
      <c r="A3" s="148"/>
      <c r="B3" s="150" t="s">
        <v>313</v>
      </c>
      <c r="C3" s="151">
        <f>+C8/$H$8</f>
        <v>0.19999999999999998</v>
      </c>
      <c r="D3" s="151">
        <f>+D8/$H$8</f>
        <v>0.19999999999999998</v>
      </c>
      <c r="E3" s="151">
        <f>+E8/$H$8</f>
        <v>0.19999999999999998</v>
      </c>
      <c r="F3" s="151">
        <f>+F8/$H$8</f>
        <v>0.19999999999999998</v>
      </c>
      <c r="G3" s="151">
        <f>+G8/$H$8</f>
        <v>0.19999999999999998</v>
      </c>
      <c r="H3" s="152"/>
    </row>
    <row r="4" spans="1:8" x14ac:dyDescent="0.25">
      <c r="A4" s="31">
        <v>1</v>
      </c>
      <c r="B4" s="126" t="s">
        <v>314</v>
      </c>
      <c r="C4" s="153" t="s">
        <v>218</v>
      </c>
      <c r="D4" s="153" t="s">
        <v>219</v>
      </c>
      <c r="E4" s="153" t="s">
        <v>315</v>
      </c>
      <c r="F4" s="153" t="s">
        <v>115</v>
      </c>
      <c r="G4" s="153" t="s">
        <v>118</v>
      </c>
      <c r="H4" s="177" t="s">
        <v>316</v>
      </c>
    </row>
    <row r="5" spans="1:8" x14ac:dyDescent="0.25">
      <c r="A5" s="31">
        <v>2</v>
      </c>
      <c r="B5" s="126" t="s">
        <v>317</v>
      </c>
      <c r="C5" s="155" t="s">
        <v>187</v>
      </c>
      <c r="D5" s="155" t="s">
        <v>391</v>
      </c>
      <c r="E5" s="155" t="s">
        <v>318</v>
      </c>
      <c r="F5" s="155" t="s">
        <v>190</v>
      </c>
      <c r="G5" s="155">
        <v>242</v>
      </c>
      <c r="H5" s="177" t="s">
        <v>319</v>
      </c>
    </row>
    <row r="6" spans="1:8" x14ac:dyDescent="0.25">
      <c r="A6" s="31">
        <v>3</v>
      </c>
      <c r="B6" s="126" t="s">
        <v>320</v>
      </c>
      <c r="C6" s="155" t="s">
        <v>321</v>
      </c>
      <c r="D6" s="155" t="s">
        <v>321</v>
      </c>
      <c r="E6" s="155" t="s">
        <v>321</v>
      </c>
      <c r="F6" s="155" t="s">
        <v>321</v>
      </c>
      <c r="G6" s="155" t="s">
        <v>321</v>
      </c>
      <c r="H6" s="178" t="s">
        <v>321</v>
      </c>
    </row>
    <row r="7" spans="1:8" x14ac:dyDescent="0.25">
      <c r="A7" s="31">
        <v>4</v>
      </c>
      <c r="B7" s="126" t="s">
        <v>322</v>
      </c>
      <c r="C7" s="154" t="s">
        <v>323</v>
      </c>
      <c r="D7" s="154" t="s">
        <v>323</v>
      </c>
      <c r="E7" s="154" t="s">
        <v>323</v>
      </c>
      <c r="F7" s="154" t="s">
        <v>323</v>
      </c>
      <c r="G7" s="154" t="s">
        <v>323</v>
      </c>
      <c r="H7" s="177" t="s">
        <v>323</v>
      </c>
    </row>
    <row r="8" spans="1:8" x14ac:dyDescent="0.25">
      <c r="A8" s="31">
        <v>5</v>
      </c>
      <c r="B8" s="126" t="s">
        <v>324</v>
      </c>
      <c r="C8" s="179">
        <f>IF('INPUT  Pg1'!D54+'INPUT  Pg1'!D55=0,0.00000000000001,'INPUT  Pg1'!D54+'INPUT  Pg1'!D55)</f>
        <v>1E-14</v>
      </c>
      <c r="D8" s="179">
        <f>IF('INPUT  Pg1'!D56=0,0.00000000000001,'INPUT  Pg1'!D56)</f>
        <v>1E-14</v>
      </c>
      <c r="E8" s="179">
        <f>IF('INPUT  Pg1'!D57+'INPUT  Pg1'!D58=0,0.00000000000001,'INPUT  Pg1'!D57+'INPUT  Pg1'!D58)</f>
        <v>1E-14</v>
      </c>
      <c r="F8" s="179">
        <f>IF('INPUT  Pg1'!D59=0,0.00000000000001,'INPUT  Pg1'!D59)</f>
        <v>1E-14</v>
      </c>
      <c r="G8" s="180">
        <f>IF('INPUT  Pg1'!D60=0,0.00000000000001,'INPUT  Pg1'!D60)</f>
        <v>1E-14</v>
      </c>
      <c r="H8" s="181">
        <f>C8+D8+E8+F8+G8</f>
        <v>5.0000000000000002E-14</v>
      </c>
    </row>
    <row r="9" spans="1:8" x14ac:dyDescent="0.25">
      <c r="A9" s="31">
        <v>6</v>
      </c>
      <c r="B9" s="135" t="s">
        <v>325</v>
      </c>
      <c r="C9" s="156">
        <f>'Project SV mfg'!C4</f>
        <v>0</v>
      </c>
      <c r="D9" s="156">
        <f>'Project SV mfg'!D4</f>
        <v>0</v>
      </c>
      <c r="E9" s="156">
        <f>'Project SV mfg'!E4</f>
        <v>0</v>
      </c>
      <c r="F9" s="156">
        <f>'Project SV mfg'!F4</f>
        <v>0</v>
      </c>
      <c r="G9" s="156">
        <f>'Project SV mfg'!G4</f>
        <v>0</v>
      </c>
      <c r="H9" s="157">
        <f>(C9*$C$8+D9*$D$8+E9*$E$8+F9*$F$8+G9*$G$8)/$H$8</f>
        <v>0</v>
      </c>
    </row>
    <row r="10" spans="1:8" x14ac:dyDescent="0.25">
      <c r="A10" s="31">
        <v>7</v>
      </c>
      <c r="B10" s="135" t="s">
        <v>326</v>
      </c>
      <c r="C10" s="156">
        <f>IF(C9=0,0,'Project SV mfg'!C11)</f>
        <v>0</v>
      </c>
      <c r="D10" s="156">
        <f>IF(D9=0,0,'Project SV mfg'!D11)</f>
        <v>0</v>
      </c>
      <c r="E10" s="156">
        <f>IF(E9=0,0,'Project SV mfg'!E11)</f>
        <v>0</v>
      </c>
      <c r="F10" s="156">
        <f>IF(F9=0,0,'Project SV mfg'!F11)</f>
        <v>0</v>
      </c>
      <c r="G10" s="156">
        <f>IF(G9=0,0,'Project SV mfg'!G11)</f>
        <v>0</v>
      </c>
      <c r="H10" s="157">
        <f>(C10*$C$8+D10*$D$8+E10*$E$8+F10*$F$8+G10*$G$8)/$H$8</f>
        <v>0</v>
      </c>
    </row>
    <row r="11" spans="1:8" x14ac:dyDescent="0.25">
      <c r="A11" s="31">
        <v>8</v>
      </c>
      <c r="B11" s="135" t="s">
        <v>327</v>
      </c>
      <c r="C11" s="158">
        <f t="shared" ref="C11:H11" si="0">C9-C10</f>
        <v>0</v>
      </c>
      <c r="D11" s="158">
        <f t="shared" ref="D11" si="1">D9-D10</f>
        <v>0</v>
      </c>
      <c r="E11" s="158">
        <f t="shared" si="0"/>
        <v>0</v>
      </c>
      <c r="F11" s="158">
        <f t="shared" si="0"/>
        <v>0</v>
      </c>
      <c r="G11" s="158">
        <f t="shared" si="0"/>
        <v>0</v>
      </c>
      <c r="H11" s="158">
        <f t="shared" si="0"/>
        <v>0</v>
      </c>
    </row>
    <row r="12" spans="1:8" x14ac:dyDescent="0.25">
      <c r="A12" s="91">
        <v>9</v>
      </c>
      <c r="B12" s="54" t="s">
        <v>328</v>
      </c>
      <c r="C12" s="159">
        <f>IF(C9=0,0,'Logging Costs'!$D$8)</f>
        <v>0</v>
      </c>
      <c r="D12" s="159">
        <f>IF(D9=0,0,'Logging Costs'!$D$8)</f>
        <v>0</v>
      </c>
      <c r="E12" s="159">
        <f>IF(E9=0,0,'Logging Costs'!$D$8)</f>
        <v>0</v>
      </c>
      <c r="F12" s="159">
        <f>IF(F9=0,0,'Logging Costs'!$D$8)</f>
        <v>0</v>
      </c>
      <c r="G12" s="159">
        <f>IF(G9=0,0,'Logging Costs'!$D$8)</f>
        <v>0</v>
      </c>
      <c r="H12" s="157">
        <f>(C12*$C$8+D12*$D$8+E12*$E$8+F12*$F$8+G12*$G$8)/$H$8</f>
        <v>0</v>
      </c>
    </row>
    <row r="13" spans="1:8" x14ac:dyDescent="0.25">
      <c r="A13" s="31">
        <v>10</v>
      </c>
      <c r="B13" s="54" t="s">
        <v>329</v>
      </c>
      <c r="C13" s="156">
        <f>IF(C9=0,0,'Logging Costs'!$D$9)</f>
        <v>0</v>
      </c>
      <c r="D13" s="156">
        <f>IF(D9=0,0,'Logging Costs'!$D$9)</f>
        <v>0</v>
      </c>
      <c r="E13" s="156">
        <f>IF(E9=0,0,'Logging Costs'!$D$9)</f>
        <v>0</v>
      </c>
      <c r="F13" s="156">
        <f>IF(F9=0,0,'Logging Costs'!$D$9)</f>
        <v>0</v>
      </c>
      <c r="G13" s="156">
        <f>IF(G9=0,0,'Logging Costs'!$D$9)</f>
        <v>0</v>
      </c>
      <c r="H13" s="157">
        <f>(C13*$C$8+D13*$D$8+E13*$E$8+F13*$F$8+G13*$G$8)/$H$8</f>
        <v>0</v>
      </c>
    </row>
    <row r="14" spans="1:8" x14ac:dyDescent="0.25">
      <c r="A14" s="31">
        <v>11</v>
      </c>
      <c r="B14" s="135" t="s">
        <v>330</v>
      </c>
      <c r="C14" s="156">
        <f>IF(C9=0,0,'Logging Costs'!$D$11)</f>
        <v>0</v>
      </c>
      <c r="D14" s="156">
        <f>IF(D9=0,0,'Logging Costs'!$D$11)</f>
        <v>0</v>
      </c>
      <c r="E14" s="156">
        <f>IF(E9=0,0,'Logging Costs'!$D$11)</f>
        <v>0</v>
      </c>
      <c r="F14" s="156">
        <f>IF(F9=0,0,'Logging Costs'!$D$11)</f>
        <v>0</v>
      </c>
      <c r="G14" s="156">
        <f>IF(G9=0,0,'Logging Costs'!$D$11)</f>
        <v>0</v>
      </c>
      <c r="H14" s="157">
        <f>(C14*$C$8+D14*$D$8+E14*$E$8+F14*$F$8+G14*$G$8)/$H$8</f>
        <v>0</v>
      </c>
    </row>
    <row r="15" spans="1:8" x14ac:dyDescent="0.25">
      <c r="A15" s="31">
        <v>12</v>
      </c>
      <c r="B15" s="126" t="s">
        <v>331</v>
      </c>
      <c r="C15" s="159">
        <f>IF(C9=0,0,'Logging Costs'!$C$14/$H$8)</f>
        <v>0</v>
      </c>
      <c r="D15" s="159">
        <f>IF(D9=0,0,'Logging Costs'!$C$14/$H$8)</f>
        <v>0</v>
      </c>
      <c r="E15" s="159">
        <f>IF(E9=0,0,'Logging Costs'!$C$14/$H$8)</f>
        <v>0</v>
      </c>
      <c r="F15" s="159">
        <f>IF(F9=0,0,'Logging Costs'!$C$14/$H$8)</f>
        <v>0</v>
      </c>
      <c r="G15" s="159">
        <f>IF(G9=0,0,'Logging Costs'!$C$14/$H$8)</f>
        <v>0</v>
      </c>
      <c r="H15" s="160">
        <f>IF('Logging Costs'!B14=0,0,(C15*$C$8+D15*$D$8+E15*$E$8+F15*$F$8+G15*$G$8)/$H$8)</f>
        <v>0</v>
      </c>
    </row>
    <row r="16" spans="1:8" x14ac:dyDescent="0.25">
      <c r="A16" s="31">
        <v>13</v>
      </c>
      <c r="B16" s="126" t="s">
        <v>332</v>
      </c>
      <c r="C16" s="156">
        <f>IF(C9=0,0,'Logging Costs'!$C$15/$H$8)</f>
        <v>0</v>
      </c>
      <c r="D16" s="156">
        <f>IF(D9=0,0,'Logging Costs'!$C$15/$H$8)</f>
        <v>0</v>
      </c>
      <c r="E16" s="156">
        <f>IF(E9=0,0,'Logging Costs'!$C$15/$H$8)</f>
        <v>0</v>
      </c>
      <c r="F16" s="156">
        <f>IF(F9=0,0,'Logging Costs'!$C$15/$H$8)</f>
        <v>0</v>
      </c>
      <c r="G16" s="156">
        <f>IF(G9=0,0,'Logging Costs'!$C$15/$H$8)</f>
        <v>0</v>
      </c>
      <c r="H16" s="157">
        <f>IF('Logging Costs'!B15=0,0,(C16*$C$8+D16*$D$8+E16*$E$8+F16*$F$8+G16*$G$8)/$H$8)</f>
        <v>0</v>
      </c>
    </row>
    <row r="17" spans="1:8" x14ac:dyDescent="0.25">
      <c r="A17" s="31">
        <v>14</v>
      </c>
      <c r="B17" s="126" t="s">
        <v>300</v>
      </c>
      <c r="C17" s="156">
        <f>IF(C9=0,0,'Logging Costs'!$D$16)</f>
        <v>0</v>
      </c>
      <c r="D17" s="156">
        <f>IF(D9=0,0,'Logging Costs'!$D$16)</f>
        <v>0</v>
      </c>
      <c r="E17" s="156">
        <f>IF(E9=0,0,'Logging Costs'!$D$16)</f>
        <v>0</v>
      </c>
      <c r="F17" s="156">
        <f>IF(F9=0,0,'Logging Costs'!$D$16)</f>
        <v>0</v>
      </c>
      <c r="G17" s="156">
        <f>IF(G9=0,0,'Logging Costs'!$D$16)</f>
        <v>0</v>
      </c>
      <c r="H17" s="157">
        <f t="shared" ref="H17:H24" si="2">(C17*$C$8+D17*$D$8+E17*$E$8+F17*$F$8+G17*$G$8)/$H$8</f>
        <v>0</v>
      </c>
    </row>
    <row r="18" spans="1:8" x14ac:dyDescent="0.25">
      <c r="A18" s="31">
        <v>15</v>
      </c>
      <c r="B18" s="126" t="s">
        <v>333</v>
      </c>
      <c r="C18" s="156">
        <f>IF(C9=0,0,'Logging Costs'!$D$17)</f>
        <v>0</v>
      </c>
      <c r="D18" s="156">
        <f>IF(D9=0,0,'Logging Costs'!$D$17)</f>
        <v>0</v>
      </c>
      <c r="E18" s="156">
        <f>IF(E9=0,0,'Logging Costs'!$D$17)</f>
        <v>0</v>
      </c>
      <c r="F18" s="156">
        <f>IF(F9=0,0,'Logging Costs'!$D$17)</f>
        <v>0</v>
      </c>
      <c r="G18" s="156">
        <f>IF(G9=0,0,'Logging Costs'!$D$17)</f>
        <v>0</v>
      </c>
      <c r="H18" s="157">
        <f t="shared" si="2"/>
        <v>0</v>
      </c>
    </row>
    <row r="19" spans="1:8" x14ac:dyDescent="0.25">
      <c r="A19" s="31">
        <v>16</v>
      </c>
      <c r="B19" s="126" t="s">
        <v>334</v>
      </c>
      <c r="C19" s="156">
        <f>IF(C9=0,0,'Logging Costs'!$D$18)</f>
        <v>0</v>
      </c>
      <c r="D19" s="156">
        <f>IF(D9=0,0,'Logging Costs'!$D$18)</f>
        <v>0</v>
      </c>
      <c r="E19" s="156">
        <f>IF(E9=0,0,'Logging Costs'!$D$18)</f>
        <v>0</v>
      </c>
      <c r="F19" s="156">
        <f>IF(F9=0,0,'Logging Costs'!$D$18)</f>
        <v>0</v>
      </c>
      <c r="G19" s="156">
        <f>IF(G9=0,0,'Logging Costs'!$D$18)</f>
        <v>0</v>
      </c>
      <c r="H19" s="157">
        <f t="shared" si="2"/>
        <v>0</v>
      </c>
    </row>
    <row r="20" spans="1:8" x14ac:dyDescent="0.25">
      <c r="A20" s="31">
        <v>17</v>
      </c>
      <c r="B20" s="54" t="s">
        <v>335</v>
      </c>
      <c r="C20" s="156">
        <f>IF(C9=0,0,'Logging Costs'!$D$21)</f>
        <v>0</v>
      </c>
      <c r="D20" s="156">
        <f>IF(D9=0,0,'Logging Costs'!$D$21)</f>
        <v>0</v>
      </c>
      <c r="E20" s="156">
        <f>IF(E9=0,0,'Logging Costs'!$D$21)</f>
        <v>0</v>
      </c>
      <c r="F20" s="156">
        <f>IF(F9=0,0,'Logging Costs'!$D$21)</f>
        <v>0</v>
      </c>
      <c r="G20" s="156">
        <f>IF(G9=0,0,'Logging Costs'!$D$21)</f>
        <v>0</v>
      </c>
      <c r="H20" s="157">
        <f t="shared" si="2"/>
        <v>0</v>
      </c>
    </row>
    <row r="21" spans="1:8" ht="16.350000000000001" customHeight="1" x14ac:dyDescent="0.25">
      <c r="A21" s="31">
        <v>18</v>
      </c>
      <c r="B21" s="135" t="s">
        <v>306</v>
      </c>
      <c r="C21" s="161">
        <f>C20+C19+C18+C17+C16+C15+C14</f>
        <v>0</v>
      </c>
      <c r="D21" s="161">
        <f>D20+D19+D18+D17+D16+D15+D14</f>
        <v>0</v>
      </c>
      <c r="E21" s="161">
        <f>E20+E19+E18+E17+E16+E15+E14</f>
        <v>0</v>
      </c>
      <c r="F21" s="161">
        <f>F20+F19+F18+F17+F16+F15+F14</f>
        <v>0</v>
      </c>
      <c r="G21" s="161">
        <f>G20+G19+G18+G17+G16+G15+G14</f>
        <v>0</v>
      </c>
      <c r="H21" s="157">
        <f t="shared" si="2"/>
        <v>0</v>
      </c>
    </row>
    <row r="22" spans="1:8" x14ac:dyDescent="0.25">
      <c r="A22" s="31">
        <v>19</v>
      </c>
      <c r="B22" s="126" t="s">
        <v>336</v>
      </c>
      <c r="C22" s="156">
        <f>IF(C9=0,0,'Logging Costs'!$D$23)</f>
        <v>0</v>
      </c>
      <c r="D22" s="156">
        <f>IF(D9=0,0,'Logging Costs'!$D$23)</f>
        <v>0</v>
      </c>
      <c r="E22" s="156">
        <f>IF(E9=0,0,'Logging Costs'!$D$23)</f>
        <v>0</v>
      </c>
      <c r="F22" s="156">
        <f>IF(F9=0,0,'Logging Costs'!$D$23)</f>
        <v>0</v>
      </c>
      <c r="G22" s="156">
        <f>IF(G9=0,0,'Logging Costs'!$D$23)</f>
        <v>0</v>
      </c>
      <c r="H22" s="157">
        <f t="shared" si="2"/>
        <v>0</v>
      </c>
    </row>
    <row r="23" spans="1:8" x14ac:dyDescent="0.25">
      <c r="A23" s="31">
        <v>20</v>
      </c>
      <c r="B23" s="126" t="s">
        <v>308</v>
      </c>
      <c r="C23" s="156">
        <f>IF(C9=0,0,'Logging Costs'!$D$24)</f>
        <v>0</v>
      </c>
      <c r="D23" s="156">
        <f>IF(D9=0,0,'Logging Costs'!$D$24)</f>
        <v>0</v>
      </c>
      <c r="E23" s="156">
        <f>IF(E9=0,0,'Logging Costs'!$D$24)</f>
        <v>0</v>
      </c>
      <c r="F23" s="156">
        <f>IF(F9=0,0,'Logging Costs'!$D$24)</f>
        <v>0</v>
      </c>
      <c r="G23" s="156">
        <f>IF(G9=0,0,'Logging Costs'!$D$24)</f>
        <v>0</v>
      </c>
      <c r="H23" s="157">
        <f t="shared" si="2"/>
        <v>0</v>
      </c>
    </row>
    <row r="24" spans="1:8" x14ac:dyDescent="0.25">
      <c r="A24" s="31">
        <v>21</v>
      </c>
      <c r="B24" s="135" t="s">
        <v>337</v>
      </c>
      <c r="C24" s="156">
        <f>C23+C22+C21</f>
        <v>0</v>
      </c>
      <c r="D24" s="156">
        <f>D23+D22+D21</f>
        <v>0</v>
      </c>
      <c r="E24" s="156">
        <f>E23+E22+E21</f>
        <v>0</v>
      </c>
      <c r="F24" s="156">
        <f>F23+F22+F21</f>
        <v>0</v>
      </c>
      <c r="G24" s="156">
        <f>G23+G22+G21</f>
        <v>0</v>
      </c>
      <c r="H24" s="157">
        <f t="shared" si="2"/>
        <v>0</v>
      </c>
    </row>
    <row r="25" spans="1:8" x14ac:dyDescent="0.25">
      <c r="A25" s="31">
        <v>22</v>
      </c>
      <c r="B25" s="135" t="s">
        <v>338</v>
      </c>
      <c r="C25" s="156">
        <f>C10+C24</f>
        <v>0</v>
      </c>
      <c r="D25" s="156">
        <f>D10+D24</f>
        <v>0</v>
      </c>
      <c r="E25" s="156">
        <f>E10+E24</f>
        <v>0</v>
      </c>
      <c r="F25" s="156">
        <f>F10+F24</f>
        <v>0</v>
      </c>
      <c r="G25" s="156">
        <f>G10+G24</f>
        <v>0</v>
      </c>
      <c r="H25" s="157">
        <f t="shared" ref="H25:H29" si="3">(C25*$C$8+D25*$D$8+E25*$E$8+F25*$F$8+G25*$G$8)/$H$8</f>
        <v>0</v>
      </c>
    </row>
    <row r="26" spans="1:8" x14ac:dyDescent="0.25">
      <c r="A26" s="31">
        <v>23</v>
      </c>
      <c r="B26" s="126" t="s">
        <v>339</v>
      </c>
      <c r="C26" s="156">
        <f>C9-C25</f>
        <v>0</v>
      </c>
      <c r="D26" s="156">
        <f>D9-D25</f>
        <v>0</v>
      </c>
      <c r="E26" s="156">
        <f>E9-E25</f>
        <v>0</v>
      </c>
      <c r="F26" s="156">
        <f>F9-F25</f>
        <v>0</v>
      </c>
      <c r="G26" s="156">
        <f>G9-G25</f>
        <v>0</v>
      </c>
      <c r="H26" s="157">
        <f t="shared" si="3"/>
        <v>0</v>
      </c>
    </row>
    <row r="27" spans="1:8" x14ac:dyDescent="0.25">
      <c r="A27" s="31">
        <v>24</v>
      </c>
      <c r="B27" s="126" t="s">
        <v>340</v>
      </c>
      <c r="C27" s="162">
        <f>IF(C9=0,0,'Project SV mfg'!C28)</f>
        <v>0</v>
      </c>
      <c r="D27" s="162">
        <f>IF(D9=0,0,'Project SV mfg'!D28)</f>
        <v>0</v>
      </c>
      <c r="E27" s="162">
        <f>IF(E9=0,0,'Project SV mfg'!E28)</f>
        <v>0</v>
      </c>
      <c r="F27" s="162">
        <f>IF(F9=0,0,'Project SV mfg'!F28)</f>
        <v>0</v>
      </c>
      <c r="G27" s="162">
        <f>IF(G9=0,0,'Project SV mfg'!G28)</f>
        <v>0</v>
      </c>
      <c r="H27" s="162">
        <f>IF(H9=0,0,H28/H9)</f>
        <v>0</v>
      </c>
    </row>
    <row r="28" spans="1:8" x14ac:dyDescent="0.25">
      <c r="A28" s="31">
        <v>25</v>
      </c>
      <c r="B28" s="54" t="s">
        <v>341</v>
      </c>
      <c r="C28" s="163">
        <f>C27*C9</f>
        <v>0</v>
      </c>
      <c r="D28" s="163">
        <f>D27*D9</f>
        <v>0</v>
      </c>
      <c r="E28" s="163">
        <f>E27*E9</f>
        <v>0</v>
      </c>
      <c r="F28" s="163">
        <f>F27*F9</f>
        <v>0</v>
      </c>
      <c r="G28" s="163">
        <f>G27*G9</f>
        <v>0</v>
      </c>
      <c r="H28" s="157">
        <f t="shared" si="3"/>
        <v>0</v>
      </c>
    </row>
    <row r="29" spans="1:8" x14ac:dyDescent="0.25">
      <c r="A29" s="31">
        <v>26</v>
      </c>
      <c r="B29" s="135" t="s">
        <v>342</v>
      </c>
      <c r="C29" s="156">
        <f>IF(C9=0,0,C9-C25-C28+($H$35*C8/$H$8/C8))</f>
        <v>0</v>
      </c>
      <c r="D29" s="156">
        <f>IF(D9=0,0,D9-D25-D28+($H$35*D8/$H$8/D8))</f>
        <v>0</v>
      </c>
      <c r="E29" s="156">
        <f>IF(E9=0,0,E9-E25-E28+($H$35*E8/$H$8/E8))</f>
        <v>0</v>
      </c>
      <c r="F29" s="156">
        <f>IF(F9=0,0,F9-F25-F28+($H$35*F8/$H$8/F8))</f>
        <v>0</v>
      </c>
      <c r="G29" s="156">
        <f>IF(G9=0,0,G9-G25-G28+($H$35*G8/$H$8/G8))</f>
        <v>0</v>
      </c>
      <c r="H29" s="157">
        <f t="shared" si="3"/>
        <v>0</v>
      </c>
    </row>
    <row r="30" spans="1:8" x14ac:dyDescent="0.25">
      <c r="A30" s="31">
        <v>27</v>
      </c>
      <c r="B30" s="135" t="s">
        <v>343</v>
      </c>
      <c r="C30" s="164">
        <f>(C29*C8)</f>
        <v>0</v>
      </c>
      <c r="D30" s="164">
        <f>(D29*D8)</f>
        <v>0</v>
      </c>
      <c r="E30" s="164">
        <f>(E29*E8)</f>
        <v>0</v>
      </c>
      <c r="F30" s="164">
        <f>(F29*F8)</f>
        <v>0</v>
      </c>
      <c r="G30" s="164">
        <f>(G29*G8)</f>
        <v>0</v>
      </c>
      <c r="H30" s="165">
        <f>SUM(C30:G30)</f>
        <v>0</v>
      </c>
    </row>
    <row r="31" spans="1:8" x14ac:dyDescent="0.25">
      <c r="A31" s="31">
        <v>28</v>
      </c>
      <c r="B31" s="126" t="s">
        <v>344</v>
      </c>
      <c r="C31" s="166">
        <f>IF(C9=0,0,IF('INPUT  Pg1'!C10="No",10,0))</f>
        <v>0</v>
      </c>
      <c r="D31" s="166">
        <f>IF(D9=0,0,IF('INPUT  Pg1'!C10="No",0.5,0))</f>
        <v>0</v>
      </c>
      <c r="E31" s="166">
        <f>IF(E9=0,0,IF('INPUT  Pg1'!C10="No",('INPUT  Pg1'!D57*2+'INPUT  Pg1'!D58*0.5)/E8,0))</f>
        <v>0</v>
      </c>
      <c r="F31" s="166">
        <f>IF(F9=0,0,IF('INPUT  Pg1'!C10="No",6,0))</f>
        <v>0</v>
      </c>
      <c r="G31" s="166">
        <f>IF(G9=0,0,IF('INPUT  Pg1'!C10="No",6,0))</f>
        <v>0</v>
      </c>
      <c r="H31" s="157">
        <f>(C31*$C$8+D31*$D$8+E31*$E$8+F31*$F$8+G31*$G$8)/$H$8</f>
        <v>0</v>
      </c>
    </row>
    <row r="32" spans="1:8" x14ac:dyDescent="0.25">
      <c r="A32" s="31">
        <v>29</v>
      </c>
      <c r="B32" s="126" t="s">
        <v>345</v>
      </c>
      <c r="C32" s="167">
        <f>C31*C8</f>
        <v>0</v>
      </c>
      <c r="D32" s="167">
        <f>D31*D8</f>
        <v>0</v>
      </c>
      <c r="E32" s="167">
        <f>E31*E8</f>
        <v>0</v>
      </c>
      <c r="F32" s="167">
        <f>F31*F8</f>
        <v>0</v>
      </c>
      <c r="G32" s="167">
        <f>G31*G8</f>
        <v>0</v>
      </c>
      <c r="H32" s="168">
        <f>SUM(C32:G32)</f>
        <v>0</v>
      </c>
    </row>
    <row r="33" spans="1:8" x14ac:dyDescent="0.25">
      <c r="A33" s="31">
        <v>30</v>
      </c>
      <c r="B33" s="126" t="s">
        <v>346</v>
      </c>
      <c r="C33" s="169"/>
      <c r="D33" s="169"/>
      <c r="E33" s="169"/>
      <c r="F33" s="169"/>
      <c r="G33" s="169"/>
      <c r="H33" s="170">
        <f>'INPUT  Pg1'!C49</f>
        <v>0</v>
      </c>
    </row>
    <row r="34" spans="1:8" x14ac:dyDescent="0.25">
      <c r="A34" s="31">
        <v>31</v>
      </c>
      <c r="B34" s="126" t="s">
        <v>347</v>
      </c>
      <c r="C34" s="169"/>
      <c r="D34" s="169"/>
      <c r="E34" s="169"/>
      <c r="F34" s="169"/>
      <c r="G34" s="169"/>
      <c r="H34" s="167">
        <f>IF(H9=0,0,IF('INPUT  Pg1'!C10="Yes",0,H33+(0.5*H8)))</f>
        <v>0</v>
      </c>
    </row>
    <row r="35" spans="1:8" x14ac:dyDescent="0.25">
      <c r="A35" s="31">
        <v>32</v>
      </c>
      <c r="B35" s="126" t="s">
        <v>348</v>
      </c>
      <c r="C35" s="169"/>
      <c r="D35" s="169"/>
      <c r="E35" s="169"/>
      <c r="F35" s="169"/>
      <c r="G35" s="169"/>
      <c r="H35" s="171">
        <f>'INPUT  Pg1'!C48</f>
        <v>0</v>
      </c>
    </row>
    <row r="36" spans="1:8" x14ac:dyDescent="0.25">
      <c r="A36" s="31">
        <v>33</v>
      </c>
      <c r="B36" s="126" t="s">
        <v>349</v>
      </c>
      <c r="C36" s="169"/>
      <c r="D36" s="169"/>
      <c r="E36" s="169"/>
      <c r="F36" s="169"/>
      <c r="G36" s="169"/>
      <c r="H36" s="167">
        <f>IF(H34-H32&lt;0,0,H34-H32)</f>
        <v>0</v>
      </c>
    </row>
    <row r="37" spans="1:8" x14ac:dyDescent="0.25">
      <c r="A37" s="31">
        <v>34</v>
      </c>
      <c r="B37" s="126" t="s">
        <v>350</v>
      </c>
      <c r="C37" s="156">
        <f>IF(C9=0,0,C29-C31)</f>
        <v>0</v>
      </c>
      <c r="D37" s="156">
        <f>IF(D9=0,0,D29-D31)</f>
        <v>0</v>
      </c>
      <c r="E37" s="156">
        <f>IF(E9=0,0,E29-E31)</f>
        <v>0</v>
      </c>
      <c r="F37" s="156">
        <f>IF(F9=0,0,F29-F31)</f>
        <v>0</v>
      </c>
      <c r="G37" s="156">
        <f>IF(G9=0,0,G29-G31)</f>
        <v>0</v>
      </c>
      <c r="H37" s="167"/>
    </row>
    <row r="38" spans="1:8" x14ac:dyDescent="0.25">
      <c r="A38" s="31">
        <v>35</v>
      </c>
      <c r="B38" s="126" t="s">
        <v>351</v>
      </c>
      <c r="C38" s="164">
        <f>IF(C37&gt;0,0,C37*C8)</f>
        <v>0</v>
      </c>
      <c r="D38" s="164">
        <f>IF(D37&gt;0,0,D37*D8)</f>
        <v>0</v>
      </c>
      <c r="E38" s="164">
        <f>IF(E37&gt;0,0,E37*E8)</f>
        <v>0</v>
      </c>
      <c r="F38" s="164">
        <f>IF(F37&gt;0,0,F37*F8)</f>
        <v>0</v>
      </c>
      <c r="G38" s="164">
        <f>IF(G37&gt;0,0,G37*G8)</f>
        <v>0</v>
      </c>
      <c r="H38" s="167">
        <f>SUM(C38:G38)</f>
        <v>0</v>
      </c>
    </row>
    <row r="39" spans="1:8" x14ac:dyDescent="0.25">
      <c r="A39" s="31">
        <v>36</v>
      </c>
      <c r="B39" s="126" t="s">
        <v>352</v>
      </c>
      <c r="C39" s="164">
        <f>IF(C37&gt;0,C37*C8,0)</f>
        <v>0</v>
      </c>
      <c r="D39" s="164">
        <f>IF(D37&gt;0,D37*D8,0)</f>
        <v>0</v>
      </c>
      <c r="E39" s="164">
        <f>IF(E37&gt;0,E37*E8,0)</f>
        <v>0</v>
      </c>
      <c r="F39" s="164">
        <f>IF(F37&gt;0,F37*F8,0)</f>
        <v>0</v>
      </c>
      <c r="G39" s="164">
        <f>IF(G37&gt;0,G37*G8,0)</f>
        <v>0</v>
      </c>
      <c r="H39" s="164">
        <f>SUM(C39:G39)</f>
        <v>0</v>
      </c>
    </row>
    <row r="40" spans="1:8" x14ac:dyDescent="0.25">
      <c r="A40" s="31">
        <v>37</v>
      </c>
      <c r="B40" s="126" t="s">
        <v>353</v>
      </c>
      <c r="C40" s="164">
        <f>IF($H$39=0,(C8/$H$8)*$H$36,$H$36/$H$39*C39)</f>
        <v>0</v>
      </c>
      <c r="D40" s="164">
        <f>IF($H$39=0,(D8/$H$8)*$H$36,$H$36/$H$39*D39)</f>
        <v>0</v>
      </c>
      <c r="E40" s="164">
        <f>IF($H$39=0,(E8/$H$8)*$H$36,$H$36/$H$39*E39)</f>
        <v>0</v>
      </c>
      <c r="F40" s="164">
        <f>IF($H$39=0,(F8/$H$8)*$H$36,$H$36/$H$39*F39)</f>
        <v>0</v>
      </c>
      <c r="G40" s="164">
        <f>IF($H$39=0,(G8/$H$8)*$H$36,$H$36/$H$39*G39)</f>
        <v>0</v>
      </c>
      <c r="H40" s="164">
        <f>H36</f>
        <v>0</v>
      </c>
    </row>
    <row r="41" spans="1:8" x14ac:dyDescent="0.25">
      <c r="A41" s="31">
        <v>38</v>
      </c>
      <c r="B41" s="126" t="s">
        <v>354</v>
      </c>
      <c r="C41" s="156">
        <f t="shared" ref="C41:H41" si="4">IF(C9=0,0,C40/C8)</f>
        <v>0</v>
      </c>
      <c r="D41" s="156">
        <f t="shared" si="4"/>
        <v>0</v>
      </c>
      <c r="E41" s="156">
        <f t="shared" si="4"/>
        <v>0</v>
      </c>
      <c r="F41" s="156">
        <f t="shared" si="4"/>
        <v>0</v>
      </c>
      <c r="G41" s="156">
        <f t="shared" si="4"/>
        <v>0</v>
      </c>
      <c r="H41" s="166">
        <f t="shared" si="4"/>
        <v>0</v>
      </c>
    </row>
    <row r="42" spans="1:8" x14ac:dyDescent="0.25">
      <c r="A42" s="31">
        <v>39</v>
      </c>
      <c r="B42" s="126" t="s">
        <v>355</v>
      </c>
      <c r="C42" s="156">
        <f>IF(C9=0,0,C41+C31)</f>
        <v>0</v>
      </c>
      <c r="D42" s="156">
        <f>IF(D9=0,0,D41+D31)</f>
        <v>0</v>
      </c>
      <c r="E42" s="156">
        <f>IF(E9=0,0,E41+E31)</f>
        <v>0</v>
      </c>
      <c r="F42" s="156">
        <f>IF(F9=0,0,F41+F31)</f>
        <v>0</v>
      </c>
      <c r="G42" s="156">
        <f>IF(G9=0,0,G41+G31)</f>
        <v>0</v>
      </c>
      <c r="H42" s="172">
        <f>H43/H8</f>
        <v>0</v>
      </c>
    </row>
    <row r="43" spans="1:8" x14ac:dyDescent="0.25">
      <c r="A43" s="31">
        <v>40</v>
      </c>
      <c r="B43" s="126" t="s">
        <v>356</v>
      </c>
      <c r="C43" s="164">
        <f>C42*C8</f>
        <v>0</v>
      </c>
      <c r="D43" s="164">
        <f>D42*D8</f>
        <v>0</v>
      </c>
      <c r="E43" s="164">
        <f>E42*E8</f>
        <v>0</v>
      </c>
      <c r="F43" s="164">
        <f>F42*F8</f>
        <v>0</v>
      </c>
      <c r="G43" s="164">
        <f>G42*G8</f>
        <v>0</v>
      </c>
      <c r="H43" s="173">
        <f>SUM(C43:G43)</f>
        <v>0</v>
      </c>
    </row>
    <row r="44" spans="1:8" x14ac:dyDescent="0.25">
      <c r="A44" s="31">
        <v>41</v>
      </c>
      <c r="B44" s="126" t="s">
        <v>357</v>
      </c>
      <c r="C44" s="156">
        <f>C29-C42</f>
        <v>0</v>
      </c>
      <c r="D44" s="156">
        <f>D29-D42</f>
        <v>0</v>
      </c>
      <c r="E44" s="156">
        <f>E29-E42</f>
        <v>0</v>
      </c>
      <c r="F44" s="156">
        <f>F29-F42</f>
        <v>0</v>
      </c>
      <c r="G44" s="156">
        <f>G29-G42</f>
        <v>0</v>
      </c>
      <c r="H44" s="168"/>
    </row>
    <row r="45" spans="1:8" x14ac:dyDescent="0.25">
      <c r="A45" s="31">
        <v>42</v>
      </c>
      <c r="B45" s="126" t="s">
        <v>351</v>
      </c>
      <c r="C45" s="164">
        <f>IF(C44&gt;0,0,C44*C8)</f>
        <v>0</v>
      </c>
      <c r="D45" s="164">
        <f>IF(D44&gt;0,0,D44*D8)</f>
        <v>0</v>
      </c>
      <c r="E45" s="164">
        <f>IF(E44&gt;0,0,E44*E8)</f>
        <v>0</v>
      </c>
      <c r="F45" s="164">
        <f>IF(F44&gt;0,0,F44*F8)</f>
        <v>0</v>
      </c>
      <c r="G45" s="164">
        <f>IF(G44&gt;0,0,G44*G8)</f>
        <v>0</v>
      </c>
      <c r="H45" s="168">
        <f>SUM(C45:G45)</f>
        <v>0</v>
      </c>
    </row>
    <row r="46" spans="1:8" x14ac:dyDescent="0.25">
      <c r="A46" s="31">
        <v>43</v>
      </c>
      <c r="B46" s="126" t="s">
        <v>352</v>
      </c>
      <c r="C46" s="164">
        <f>IF(C44&gt;0,C44*C8,0)</f>
        <v>0</v>
      </c>
      <c r="D46" s="164">
        <f>IF(D44&gt;0,D44*D8,0)</f>
        <v>0</v>
      </c>
      <c r="E46" s="164">
        <f>IF(E44&gt;0,E44*E8,0)</f>
        <v>0</v>
      </c>
      <c r="F46" s="164">
        <f>IF(F44&gt;0,F44*F8,0)</f>
        <v>0</v>
      </c>
      <c r="G46" s="164">
        <f>IF(G44&gt;0,G44*G8,0)</f>
        <v>0</v>
      </c>
      <c r="H46" s="168">
        <f>SUM(C46:G46)</f>
        <v>0</v>
      </c>
    </row>
    <row r="47" spans="1:8" x14ac:dyDescent="0.25">
      <c r="A47" s="31">
        <v>44</v>
      </c>
      <c r="B47" s="126" t="s">
        <v>358</v>
      </c>
      <c r="C47" s="164">
        <f>IF(H47&lt;0,0,IF(C46&gt;0,$H$47/$H$46*C46,0))</f>
        <v>0</v>
      </c>
      <c r="D47" s="164">
        <f>IF(H47&lt;0,0,IF(D46&gt;0,$H$47/$H$46*D46,0))</f>
        <v>0</v>
      </c>
      <c r="E47" s="164">
        <f>IF(H47&lt;0,0,IF(E46&gt;0,$H$47/$H$46*E46,0))</f>
        <v>0</v>
      </c>
      <c r="F47" s="164">
        <f>IF(H47&lt;0,0,IF(F46&gt;0,$H$47/$H$46*F46,0))</f>
        <v>0</v>
      </c>
      <c r="G47" s="164">
        <f>IF(H47&lt;0,0,IF(G46&gt;0,$H$47/$H$46*G46,0))</f>
        <v>0</v>
      </c>
      <c r="H47" s="168">
        <f>H46+H45</f>
        <v>0</v>
      </c>
    </row>
    <row r="48" spans="1:8" x14ac:dyDescent="0.25">
      <c r="A48" s="31">
        <v>45</v>
      </c>
      <c r="B48" s="126" t="s">
        <v>359</v>
      </c>
      <c r="C48" s="156">
        <f>IF(C47&gt;0,(C46-C47)/C8*-1,C44*-1)</f>
        <v>0</v>
      </c>
      <c r="D48" s="156">
        <f>IF(D47&gt;0,(D46-D47)/D8*-1,D44*-1)</f>
        <v>0</v>
      </c>
      <c r="E48" s="156">
        <f>IF(E47&gt;0,(E46-E47)/E8*-1,E44*-1)</f>
        <v>0</v>
      </c>
      <c r="F48" s="156">
        <f>IF(F47&gt;0,(F46-F47)/F8*-1,F44*-1)</f>
        <v>0</v>
      </c>
      <c r="G48" s="156">
        <f>IF(G47&gt;0,(G46-G47)/G8*-1,G44*-1)</f>
        <v>0</v>
      </c>
      <c r="H48" s="156">
        <f>C48*(C8/H8)+D48*(D8/H8)+E48*(E8/H8)+F48*(F8/H8)+G48*(G8/H8)</f>
        <v>0</v>
      </c>
    </row>
    <row r="49" spans="1:10" x14ac:dyDescent="0.25">
      <c r="A49" s="31">
        <v>46</v>
      </c>
      <c r="B49" s="135" t="s">
        <v>360</v>
      </c>
      <c r="C49" s="156">
        <f>IF('INPUT  Pg1'!D54+'INPUT  Pg1'!D55=0,0,C29+C48)</f>
        <v>0</v>
      </c>
      <c r="D49" s="156">
        <f>IF('INPUT  Pg1'!D56=0,0,D29+D48)</f>
        <v>0</v>
      </c>
      <c r="E49" s="156">
        <f>IF('INPUT  Pg1'!D57+'INPUT  Pg1'!D58=0,0,E29+E48)</f>
        <v>0</v>
      </c>
      <c r="F49" s="156">
        <f>IF('INPUT  Pg1'!D59=0,0,F29+F48)</f>
        <v>0</v>
      </c>
      <c r="G49" s="156">
        <f>IF('INPUT  Pg1'!D60=0,0,G29+G48)</f>
        <v>0</v>
      </c>
      <c r="H49" s="158">
        <f>H50/H8</f>
        <v>0</v>
      </c>
      <c r="J49" s="63"/>
    </row>
    <row r="50" spans="1:10" x14ac:dyDescent="0.25">
      <c r="A50" s="31">
        <v>47</v>
      </c>
      <c r="B50" s="135" t="s">
        <v>361</v>
      </c>
      <c r="C50" s="164">
        <f>C49*C8</f>
        <v>0</v>
      </c>
      <c r="D50" s="164">
        <f>D49*D8</f>
        <v>0</v>
      </c>
      <c r="E50" s="164">
        <f>E49*E8</f>
        <v>0</v>
      </c>
      <c r="F50" s="164">
        <f>F49*F8</f>
        <v>0</v>
      </c>
      <c r="G50" s="164">
        <f>G49*G8</f>
        <v>0</v>
      </c>
      <c r="H50" s="174">
        <f>SUM(C50:G50)</f>
        <v>0</v>
      </c>
      <c r="I50" s="64"/>
      <c r="J50" s="58"/>
    </row>
    <row r="51" spans="1:10" x14ac:dyDescent="0.25">
      <c r="A51" s="31">
        <v>48</v>
      </c>
      <c r="B51" s="126" t="s">
        <v>362</v>
      </c>
      <c r="C51" s="175">
        <f>IF(H43&gt;H30,H43-H30,0)</f>
        <v>0</v>
      </c>
      <c r="D51" s="174"/>
      <c r="E51" s="176"/>
      <c r="F51" s="176"/>
      <c r="G51" s="176"/>
      <c r="H51" s="62"/>
      <c r="I51" s="60"/>
      <c r="J51" s="59"/>
    </row>
    <row r="52" spans="1:10" x14ac:dyDescent="0.25">
      <c r="C52" s="48"/>
      <c r="D52" s="48"/>
      <c r="E52" s="51"/>
      <c r="F52" s="48"/>
      <c r="G52" s="52" t="s">
        <v>9</v>
      </c>
      <c r="H52" s="61"/>
      <c r="I52" s="60"/>
    </row>
    <row r="53" spans="1:10" x14ac:dyDescent="0.25">
      <c r="C53" s="48"/>
      <c r="D53" s="48"/>
      <c r="E53" s="48"/>
      <c r="F53" s="48"/>
      <c r="G53" s="48"/>
      <c r="H53" s="62"/>
      <c r="I53" s="60"/>
    </row>
    <row r="54" spans="1:10" x14ac:dyDescent="0.25">
      <c r="C54" s="48"/>
      <c r="D54" s="48"/>
      <c r="E54" s="48"/>
      <c r="F54" s="48"/>
      <c r="G54" s="48"/>
    </row>
  </sheetData>
  <sheetProtection algorithmName="SHA-512" hashValue="CW+75EOQI3xUT6j8EzqLR41r8YlMTu5XtDIp4gjPvW/8kyQEWMits3jkwd8KJipyWdNoH3PXW2nia6v21wtyow==" saltValue="NaA/EquG0IYF7Qy1/LfWsg==" spinCount="100000" sheet="1" objects="1" scenarios="1"/>
  <printOptions gridLines="1"/>
  <pageMargins left="0.25" right="0.25" top="0.25" bottom="0.25" header="0.5" footer="0.5"/>
  <pageSetup paperSize="3" scale="73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CCFFCC"/>
  </sheetPr>
  <dimension ref="A1:M1001"/>
  <sheetViews>
    <sheetView zoomScale="90" zoomScaleNormal="90" workbookViewId="0">
      <selection activeCell="C24" sqref="C24"/>
    </sheetView>
  </sheetViews>
  <sheetFormatPr defaultColWidth="9.28515625" defaultRowHeight="12" x14ac:dyDescent="0.2"/>
  <cols>
    <col min="1" max="1" width="25.5703125" style="314" customWidth="1"/>
    <col min="2" max="2" width="15.28515625" style="276" customWidth="1"/>
    <col min="3" max="3" width="15.7109375" style="276" customWidth="1"/>
    <col min="4" max="4" width="15" style="276" customWidth="1"/>
    <col min="5" max="6" width="13.28515625" style="276" customWidth="1"/>
    <col min="7" max="18" width="13.7109375" style="276" customWidth="1"/>
    <col min="19" max="16384" width="9.28515625" style="276"/>
  </cols>
  <sheetData>
    <row r="1" spans="1:7" ht="15.75" x14ac:dyDescent="0.25">
      <c r="A1" s="305" t="s">
        <v>363</v>
      </c>
      <c r="B1" s="273"/>
      <c r="C1" s="273"/>
      <c r="D1" s="273"/>
      <c r="E1" s="273"/>
      <c r="F1" s="273"/>
    </row>
    <row r="2" spans="1:7" ht="12.75" x14ac:dyDescent="0.2">
      <c r="A2" s="306"/>
      <c r="B2" s="209"/>
      <c r="C2" s="206"/>
      <c r="D2" s="207"/>
      <c r="E2" s="207"/>
    </row>
    <row r="3" spans="1:7" ht="12.75" x14ac:dyDescent="0.2">
      <c r="A3" s="271" t="s">
        <v>364</v>
      </c>
      <c r="B3" s="272"/>
      <c r="C3" s="272"/>
      <c r="D3" s="273"/>
      <c r="E3" s="273"/>
      <c r="F3" s="273"/>
    </row>
    <row r="4" spans="1:7" ht="12.75" x14ac:dyDescent="0.2">
      <c r="A4" s="274"/>
      <c r="B4" s="208" t="s">
        <v>365</v>
      </c>
      <c r="C4" s="272"/>
      <c r="D4" s="273"/>
      <c r="E4" s="273"/>
      <c r="F4" s="273"/>
    </row>
    <row r="5" spans="1:7" ht="12.75" x14ac:dyDescent="0.2">
      <c r="A5" s="274" t="s">
        <v>366</v>
      </c>
      <c r="B5" s="265">
        <f>'INPUT  Pg1'!E26</f>
        <v>0</v>
      </c>
      <c r="C5" s="272"/>
      <c r="D5" s="273"/>
      <c r="E5" s="273"/>
      <c r="F5" s="273"/>
    </row>
    <row r="6" spans="1:7" ht="12.75" x14ac:dyDescent="0.2">
      <c r="A6" s="274" t="s">
        <v>367</v>
      </c>
      <c r="B6" s="265">
        <f>'INPUT  Pg1'!E25</f>
        <v>0</v>
      </c>
      <c r="C6" s="272"/>
      <c r="D6" s="273"/>
      <c r="E6" s="273"/>
      <c r="F6" s="273"/>
    </row>
    <row r="7" spans="1:7" ht="12.75" x14ac:dyDescent="0.2">
      <c r="A7" s="274" t="s">
        <v>368</v>
      </c>
      <c r="B7" s="265">
        <f>'INPUT  Pg1'!E24</f>
        <v>0</v>
      </c>
      <c r="C7" s="272"/>
      <c r="D7" s="273"/>
      <c r="E7" s="273"/>
      <c r="F7" s="273"/>
    </row>
    <row r="8" spans="1:7" ht="12.75" x14ac:dyDescent="0.2">
      <c r="A8" s="275" t="s">
        <v>369</v>
      </c>
      <c r="B8" s="266">
        <f>'INPUT  Pg1'!C20</f>
        <v>0</v>
      </c>
      <c r="C8" s="272"/>
      <c r="D8" s="273"/>
      <c r="E8" s="273"/>
      <c r="F8" s="273"/>
    </row>
    <row r="9" spans="1:7" ht="12.75" x14ac:dyDescent="0.2">
      <c r="A9" s="275" t="s">
        <v>370</v>
      </c>
      <c r="B9" s="266">
        <f>'INPUT  Pg1'!C22</f>
        <v>0</v>
      </c>
      <c r="C9" s="272"/>
      <c r="D9" s="273"/>
      <c r="E9" s="273"/>
      <c r="F9" s="273"/>
    </row>
    <row r="10" spans="1:7" ht="12.75" x14ac:dyDescent="0.2">
      <c r="A10" s="275" t="s">
        <v>371</v>
      </c>
      <c r="B10" s="266">
        <f>'INPUT  Pg1'!C21</f>
        <v>0</v>
      </c>
      <c r="C10" s="272"/>
      <c r="D10" s="273"/>
      <c r="E10" s="273"/>
      <c r="F10" s="273"/>
    </row>
    <row r="11" spans="1:7" ht="12.75" x14ac:dyDescent="0.2">
      <c r="A11" s="275"/>
      <c r="B11" s="264"/>
      <c r="C11" s="272"/>
      <c r="D11" s="273"/>
      <c r="E11" s="273"/>
      <c r="F11" s="273"/>
    </row>
    <row r="12" spans="1:7" ht="12.75" x14ac:dyDescent="0.2">
      <c r="A12" s="275"/>
      <c r="B12" s="264"/>
      <c r="C12" s="272"/>
      <c r="D12" s="273"/>
      <c r="E12" s="273"/>
      <c r="F12" s="273"/>
    </row>
    <row r="13" spans="1:7" ht="12.75" x14ac:dyDescent="0.2">
      <c r="A13" s="271" t="s">
        <v>372</v>
      </c>
      <c r="B13" s="273"/>
      <c r="E13" s="273"/>
      <c r="F13" s="273"/>
    </row>
    <row r="14" spans="1:7" ht="12.75" x14ac:dyDescent="0.2">
      <c r="A14" s="277"/>
      <c r="B14" s="315" t="s">
        <v>365</v>
      </c>
      <c r="C14" s="278" t="s">
        <v>373</v>
      </c>
      <c r="D14" s="278" t="s">
        <v>374</v>
      </c>
      <c r="E14" s="207"/>
      <c r="F14" s="207"/>
      <c r="G14" s="307"/>
    </row>
    <row r="15" spans="1:7" ht="12.75" x14ac:dyDescent="0.2">
      <c r="A15" s="279" t="s">
        <v>375</v>
      </c>
      <c r="B15" s="600">
        <f>'INPUT  Pg1'!D54</f>
        <v>0</v>
      </c>
      <c r="C15" s="604">
        <f>B15*'INPUT  Pg1'!F54</f>
        <v>0</v>
      </c>
      <c r="D15" s="604">
        <f>B15*'INPUT  Pg1'!G54</f>
        <v>0</v>
      </c>
      <c r="E15" s="281"/>
      <c r="F15" s="273"/>
    </row>
    <row r="16" spans="1:7" ht="12.75" x14ac:dyDescent="0.2">
      <c r="A16" s="591" t="s">
        <v>376</v>
      </c>
      <c r="B16" s="600">
        <f>'INPUT  Pg1'!D55</f>
        <v>0</v>
      </c>
      <c r="C16" s="604">
        <f>B16*'INPUT  Pg1'!F55</f>
        <v>0</v>
      </c>
      <c r="D16" s="604">
        <f>B16*'INPUT  Pg1'!G55</f>
        <v>0</v>
      </c>
      <c r="E16" s="273"/>
      <c r="F16" s="273"/>
    </row>
    <row r="17" spans="1:13" ht="12.75" x14ac:dyDescent="0.2">
      <c r="A17" s="282" t="s">
        <v>377</v>
      </c>
      <c r="B17" s="600">
        <f>'INPUT  Pg1'!D56</f>
        <v>0</v>
      </c>
      <c r="C17" s="604">
        <f>B17*'INPUT  Pg1'!F56</f>
        <v>0</v>
      </c>
      <c r="D17" s="604">
        <f>B17*'INPUT  Pg1'!G56</f>
        <v>0</v>
      </c>
      <c r="E17" s="273"/>
      <c r="F17" s="273"/>
    </row>
    <row r="18" spans="1:13" ht="12.75" x14ac:dyDescent="0.2">
      <c r="A18" s="279" t="s">
        <v>399</v>
      </c>
      <c r="B18" s="600">
        <f>'INPUT  Pg1'!D57</f>
        <v>0</v>
      </c>
      <c r="C18" s="604">
        <f>B18*'INPUT  Pg1'!F57</f>
        <v>0</v>
      </c>
      <c r="D18" s="604">
        <f>B18*'INPUT  Pg1'!G57</f>
        <v>0</v>
      </c>
      <c r="E18" s="273"/>
      <c r="F18" s="273"/>
    </row>
    <row r="19" spans="1:13" ht="12.75" x14ac:dyDescent="0.2">
      <c r="A19" s="279" t="s">
        <v>400</v>
      </c>
      <c r="B19" s="600">
        <f>'INPUT  Pg1'!D58</f>
        <v>0</v>
      </c>
      <c r="C19" s="604">
        <f>B19*'INPUT  Pg1'!F58</f>
        <v>0</v>
      </c>
      <c r="D19" s="604">
        <f>B19*'INPUT  Pg1'!G58</f>
        <v>0</v>
      </c>
      <c r="E19" s="273"/>
      <c r="F19" s="273"/>
    </row>
    <row r="20" spans="1:13" ht="12.75" x14ac:dyDescent="0.2">
      <c r="A20" s="279" t="s">
        <v>378</v>
      </c>
      <c r="B20" s="600">
        <f>'INPUT  Pg1'!D59</f>
        <v>0</v>
      </c>
      <c r="C20" s="604">
        <f>B20*'INPUT  Pg1'!F59</f>
        <v>0</v>
      </c>
      <c r="D20" s="604">
        <f>B20*'INPUT  Pg1'!G59</f>
        <v>0</v>
      </c>
      <c r="E20" s="273"/>
      <c r="F20" s="273"/>
    </row>
    <row r="21" spans="1:13" ht="12.75" x14ac:dyDescent="0.2">
      <c r="A21" s="279" t="s">
        <v>379</v>
      </c>
      <c r="B21" s="600">
        <f>'INPUT  Pg1'!D60</f>
        <v>0</v>
      </c>
      <c r="C21" s="604">
        <f>B21*'INPUT  Pg1'!F60</f>
        <v>0</v>
      </c>
      <c r="D21" s="604">
        <f>B21*'INPUT  Pg1'!G60</f>
        <v>0</v>
      </c>
      <c r="E21" s="281"/>
      <c r="F21" s="273"/>
    </row>
    <row r="22" spans="1:13" ht="12.75" x14ac:dyDescent="0.2">
      <c r="A22" s="283" t="s">
        <v>380</v>
      </c>
      <c r="B22" s="601">
        <f>SUM(B15:B21)</f>
        <v>0</v>
      </c>
      <c r="C22" s="601">
        <f>SUM(C15:C21)</f>
        <v>0</v>
      </c>
      <c r="D22" s="601">
        <f>SUM(D15:D21)</f>
        <v>0</v>
      </c>
      <c r="E22" s="281"/>
      <c r="F22" s="273"/>
    </row>
    <row r="23" spans="1:13" ht="25.5" x14ac:dyDescent="0.2">
      <c r="A23" s="284"/>
      <c r="B23" s="210"/>
      <c r="C23" s="285" t="s">
        <v>381</v>
      </c>
      <c r="D23" s="285" t="s">
        <v>382</v>
      </c>
      <c r="E23" s="281"/>
      <c r="F23" s="273"/>
    </row>
    <row r="24" spans="1:13" ht="12.75" x14ac:dyDescent="0.2">
      <c r="A24" s="308" t="s">
        <v>383</v>
      </c>
      <c r="B24" s="603">
        <f>C24+D24</f>
        <v>0</v>
      </c>
      <c r="C24" s="602"/>
      <c r="D24" s="602"/>
      <c r="E24" s="281"/>
      <c r="F24" s="273"/>
    </row>
    <row r="25" spans="1:13" ht="12.75" x14ac:dyDescent="0.2">
      <c r="A25" s="309" t="s">
        <v>384</v>
      </c>
      <c r="B25" s="280"/>
      <c r="C25" s="198"/>
      <c r="D25" s="198"/>
      <c r="E25" s="281"/>
      <c r="F25" s="273"/>
    </row>
    <row r="26" spans="1:13" ht="15.75" x14ac:dyDescent="0.25">
      <c r="A26" s="286" t="s">
        <v>385</v>
      </c>
      <c r="B26" s="287">
        <f>IF(D26+C26=0,0,IF(D26=0,C26,IF(C26=0,D26,D26+C26)))</f>
        <v>0</v>
      </c>
      <c r="C26" s="288">
        <f>IF($B$24=0,0,(C24/$B$24)*C25)</f>
        <v>0</v>
      </c>
      <c r="D26" s="288">
        <f>IF($B24=0,0,(D24/$B$24)*D25)</f>
        <v>0</v>
      </c>
      <c r="E26" s="281"/>
      <c r="F26" s="273"/>
    </row>
    <row r="27" spans="1:13" ht="12.75" x14ac:dyDescent="0.2">
      <c r="A27" s="310"/>
      <c r="B27" s="206"/>
      <c r="C27" s="206"/>
      <c r="D27" s="206"/>
      <c r="E27" s="273"/>
      <c r="F27" s="273"/>
    </row>
    <row r="28" spans="1:13" ht="15" x14ac:dyDescent="0.25">
      <c r="A28" s="311" t="s">
        <v>386</v>
      </c>
      <c r="B28" s="312"/>
      <c r="C28" s="272"/>
      <c r="D28" s="273"/>
      <c r="E28" s="273"/>
      <c r="F28" s="273"/>
      <c r="G28" s="313"/>
      <c r="H28" s="313"/>
      <c r="I28" s="313"/>
      <c r="J28" s="313"/>
      <c r="K28" s="313"/>
      <c r="L28" s="313"/>
      <c r="M28" s="313"/>
    </row>
    <row r="29" spans="1:13" x14ac:dyDescent="0.2">
      <c r="A29" s="199"/>
      <c r="B29" s="200"/>
      <c r="C29" s="200"/>
      <c r="D29" s="200"/>
      <c r="E29" s="200"/>
      <c r="F29" s="200"/>
      <c r="G29" s="200"/>
    </row>
    <row r="30" spans="1:13" x14ac:dyDescent="0.2">
      <c r="A30" s="199"/>
      <c r="B30" s="200"/>
      <c r="C30" s="200"/>
      <c r="D30" s="200"/>
      <c r="E30" s="200"/>
      <c r="F30" s="200"/>
      <c r="G30" s="200"/>
    </row>
    <row r="31" spans="1:13" x14ac:dyDescent="0.2">
      <c r="A31" s="199"/>
      <c r="B31" s="200"/>
      <c r="C31" s="200"/>
      <c r="D31" s="200"/>
      <c r="E31" s="200"/>
      <c r="F31" s="200"/>
      <c r="G31" s="200"/>
    </row>
    <row r="32" spans="1:13" x14ac:dyDescent="0.2">
      <c r="A32" s="199"/>
      <c r="B32" s="200"/>
      <c r="C32" s="200"/>
      <c r="D32" s="200"/>
      <c r="E32" s="200"/>
      <c r="F32" s="200"/>
      <c r="G32" s="200"/>
    </row>
    <row r="33" spans="1:7" x14ac:dyDescent="0.2">
      <c r="A33" s="199"/>
      <c r="B33" s="200"/>
      <c r="C33" s="200"/>
      <c r="D33" s="200"/>
      <c r="E33" s="200"/>
      <c r="F33" s="200"/>
      <c r="G33" s="200"/>
    </row>
    <row r="34" spans="1:7" x14ac:dyDescent="0.2">
      <c r="A34" s="199"/>
      <c r="B34" s="200"/>
      <c r="C34" s="200"/>
      <c r="D34" s="200"/>
      <c r="E34" s="200"/>
      <c r="F34" s="200"/>
      <c r="G34" s="200"/>
    </row>
    <row r="35" spans="1:7" x14ac:dyDescent="0.2">
      <c r="A35" s="199"/>
      <c r="B35" s="200"/>
      <c r="C35" s="200"/>
      <c r="D35" s="200"/>
      <c r="E35" s="200"/>
      <c r="F35" s="200"/>
      <c r="G35" s="200"/>
    </row>
    <row r="36" spans="1:7" x14ac:dyDescent="0.2">
      <c r="A36" s="199"/>
      <c r="B36" s="200"/>
      <c r="C36" s="200"/>
      <c r="D36" s="200"/>
      <c r="E36" s="200"/>
      <c r="F36" s="200"/>
      <c r="G36" s="200"/>
    </row>
    <row r="37" spans="1:7" x14ac:dyDescent="0.2">
      <c r="A37" s="199"/>
      <c r="B37" s="200"/>
      <c r="C37" s="200"/>
      <c r="D37" s="200"/>
      <c r="E37" s="200"/>
      <c r="F37" s="200"/>
      <c r="G37" s="200"/>
    </row>
    <row r="38" spans="1:7" x14ac:dyDescent="0.2">
      <c r="A38" s="199"/>
      <c r="B38" s="200"/>
      <c r="C38" s="200"/>
      <c r="D38" s="200"/>
      <c r="E38" s="200"/>
      <c r="F38" s="200"/>
      <c r="G38" s="200"/>
    </row>
    <row r="39" spans="1:7" x14ac:dyDescent="0.2">
      <c r="A39" s="199"/>
      <c r="B39" s="200"/>
      <c r="C39" s="200"/>
      <c r="D39" s="200"/>
      <c r="E39" s="200"/>
      <c r="F39" s="200"/>
      <c r="G39" s="200"/>
    </row>
    <row r="40" spans="1:7" x14ac:dyDescent="0.2">
      <c r="A40" s="199"/>
      <c r="B40" s="200"/>
      <c r="C40" s="200"/>
      <c r="D40" s="200"/>
      <c r="E40" s="200"/>
      <c r="F40" s="200"/>
      <c r="G40" s="200"/>
    </row>
    <row r="41" spans="1:7" x14ac:dyDescent="0.2">
      <c r="A41" s="199"/>
      <c r="B41" s="200"/>
      <c r="C41" s="200"/>
      <c r="D41" s="200"/>
      <c r="E41" s="200"/>
      <c r="F41" s="200"/>
      <c r="G41" s="200"/>
    </row>
    <row r="42" spans="1:7" x14ac:dyDescent="0.2">
      <c r="A42" s="199"/>
      <c r="B42" s="200"/>
      <c r="C42" s="200"/>
      <c r="D42" s="200"/>
      <c r="E42" s="200"/>
      <c r="F42" s="200"/>
      <c r="G42" s="200"/>
    </row>
    <row r="43" spans="1:7" x14ac:dyDescent="0.2">
      <c r="A43" s="199"/>
      <c r="B43" s="200"/>
      <c r="C43" s="200"/>
      <c r="D43" s="200"/>
      <c r="E43" s="200"/>
      <c r="F43" s="200"/>
      <c r="G43" s="200"/>
    </row>
    <row r="44" spans="1:7" x14ac:dyDescent="0.2">
      <c r="A44" s="199"/>
      <c r="B44" s="200"/>
      <c r="C44" s="200"/>
      <c r="D44" s="200"/>
      <c r="E44" s="200"/>
      <c r="F44" s="200"/>
      <c r="G44" s="200"/>
    </row>
    <row r="45" spans="1:7" x14ac:dyDescent="0.2">
      <c r="A45" s="199"/>
      <c r="B45" s="200"/>
      <c r="C45" s="200"/>
      <c r="D45" s="200"/>
      <c r="E45" s="200"/>
      <c r="F45" s="200"/>
      <c r="G45" s="200"/>
    </row>
    <row r="46" spans="1:7" x14ac:dyDescent="0.2">
      <c r="A46" s="199"/>
      <c r="B46" s="200"/>
      <c r="C46" s="200"/>
      <c r="D46" s="200"/>
      <c r="E46" s="200"/>
      <c r="F46" s="200"/>
      <c r="G46" s="200"/>
    </row>
    <row r="47" spans="1:7" x14ac:dyDescent="0.2">
      <c r="A47" s="199"/>
      <c r="B47" s="200"/>
      <c r="C47" s="200"/>
      <c r="D47" s="200"/>
      <c r="E47" s="200"/>
      <c r="F47" s="200"/>
      <c r="G47" s="200"/>
    </row>
    <row r="48" spans="1:7" x14ac:dyDescent="0.2">
      <c r="A48" s="199"/>
      <c r="B48" s="200"/>
      <c r="C48" s="200"/>
      <c r="D48" s="200"/>
      <c r="E48" s="200"/>
      <c r="F48" s="200"/>
      <c r="G48" s="200"/>
    </row>
    <row r="49" spans="1:7" x14ac:dyDescent="0.2">
      <c r="A49" s="199"/>
      <c r="B49" s="200"/>
      <c r="C49" s="200"/>
      <c r="D49" s="200"/>
      <c r="E49" s="200"/>
      <c r="F49" s="200"/>
      <c r="G49" s="200"/>
    </row>
    <row r="50" spans="1:7" x14ac:dyDescent="0.2">
      <c r="A50" s="199"/>
      <c r="B50" s="200"/>
      <c r="C50" s="200"/>
      <c r="D50" s="200"/>
      <c r="E50" s="200"/>
      <c r="F50" s="200"/>
      <c r="G50" s="200"/>
    </row>
    <row r="51" spans="1:7" x14ac:dyDescent="0.2">
      <c r="A51" s="199"/>
      <c r="B51" s="200"/>
      <c r="C51" s="200"/>
      <c r="D51" s="200"/>
      <c r="E51" s="200"/>
      <c r="F51" s="200"/>
      <c r="G51" s="200"/>
    </row>
    <row r="52" spans="1:7" x14ac:dyDescent="0.2">
      <c r="A52" s="199"/>
      <c r="B52" s="200"/>
      <c r="C52" s="200"/>
      <c r="D52" s="200"/>
      <c r="E52" s="200"/>
      <c r="F52" s="200"/>
      <c r="G52" s="200"/>
    </row>
    <row r="53" spans="1:7" x14ac:dyDescent="0.2">
      <c r="A53" s="199"/>
      <c r="B53" s="200"/>
      <c r="C53" s="200"/>
      <c r="D53" s="200"/>
      <c r="E53" s="200"/>
      <c r="F53" s="200"/>
      <c r="G53" s="200"/>
    </row>
    <row r="54" spans="1:7" x14ac:dyDescent="0.2">
      <c r="A54" s="199"/>
      <c r="B54" s="200"/>
      <c r="C54" s="200"/>
      <c r="D54" s="200"/>
      <c r="E54" s="200"/>
      <c r="F54" s="200"/>
      <c r="G54" s="200"/>
    </row>
    <row r="55" spans="1:7" x14ac:dyDescent="0.2">
      <c r="A55" s="199"/>
      <c r="B55" s="200"/>
      <c r="C55" s="200"/>
      <c r="D55" s="200"/>
      <c r="E55" s="200"/>
      <c r="F55" s="200"/>
      <c r="G55" s="200"/>
    </row>
    <row r="56" spans="1:7" x14ac:dyDescent="0.2">
      <c r="A56" s="199"/>
      <c r="B56" s="200"/>
      <c r="C56" s="200"/>
      <c r="D56" s="200"/>
      <c r="E56" s="200"/>
      <c r="F56" s="200"/>
      <c r="G56" s="200"/>
    </row>
    <row r="57" spans="1:7" x14ac:dyDescent="0.2">
      <c r="A57" s="199"/>
      <c r="B57" s="200"/>
      <c r="C57" s="200"/>
      <c r="D57" s="200"/>
      <c r="E57" s="200"/>
      <c r="F57" s="200"/>
      <c r="G57" s="200"/>
    </row>
    <row r="58" spans="1:7" x14ac:dyDescent="0.2">
      <c r="A58" s="199"/>
      <c r="B58" s="200"/>
      <c r="C58" s="200"/>
      <c r="D58" s="200"/>
      <c r="E58" s="200"/>
      <c r="F58" s="200"/>
      <c r="G58" s="200"/>
    </row>
    <row r="59" spans="1:7" x14ac:dyDescent="0.2">
      <c r="A59" s="199"/>
      <c r="B59" s="200"/>
      <c r="C59" s="200"/>
      <c r="D59" s="200"/>
      <c r="E59" s="200"/>
      <c r="F59" s="200"/>
      <c r="G59" s="200"/>
    </row>
    <row r="60" spans="1:7" x14ac:dyDescent="0.2">
      <c r="A60" s="199"/>
      <c r="B60" s="200"/>
      <c r="C60" s="200"/>
      <c r="D60" s="200"/>
      <c r="E60" s="200"/>
      <c r="F60" s="200"/>
      <c r="G60" s="200"/>
    </row>
    <row r="61" spans="1:7" x14ac:dyDescent="0.2">
      <c r="A61" s="199"/>
      <c r="B61" s="200"/>
      <c r="C61" s="200"/>
      <c r="D61" s="200"/>
      <c r="E61" s="200"/>
      <c r="F61" s="200"/>
      <c r="G61" s="200"/>
    </row>
    <row r="62" spans="1:7" x14ac:dyDescent="0.2">
      <c r="A62" s="199"/>
      <c r="B62" s="200"/>
      <c r="C62" s="200"/>
      <c r="D62" s="200"/>
      <c r="E62" s="200"/>
      <c r="F62" s="200"/>
      <c r="G62" s="200"/>
    </row>
    <row r="63" spans="1:7" x14ac:dyDescent="0.2">
      <c r="A63" s="199"/>
      <c r="B63" s="200"/>
      <c r="C63" s="200"/>
      <c r="D63" s="200"/>
      <c r="E63" s="200"/>
      <c r="F63" s="200"/>
      <c r="G63" s="200"/>
    </row>
    <row r="64" spans="1:7" x14ac:dyDescent="0.2">
      <c r="A64" s="199"/>
      <c r="B64" s="200"/>
      <c r="C64" s="200"/>
      <c r="D64" s="200"/>
      <c r="E64" s="200"/>
      <c r="F64" s="200"/>
      <c r="G64" s="200"/>
    </row>
    <row r="65" spans="1:7" x14ac:dyDescent="0.2">
      <c r="A65" s="199"/>
      <c r="B65" s="200"/>
      <c r="C65" s="200"/>
      <c r="D65" s="200"/>
      <c r="E65" s="200"/>
      <c r="F65" s="200"/>
      <c r="G65" s="200"/>
    </row>
    <row r="66" spans="1:7" x14ac:dyDescent="0.2">
      <c r="A66" s="199"/>
      <c r="B66" s="200"/>
      <c r="C66" s="200"/>
      <c r="D66" s="200"/>
      <c r="E66" s="200"/>
      <c r="F66" s="200"/>
      <c r="G66" s="200"/>
    </row>
    <row r="67" spans="1:7" x14ac:dyDescent="0.2">
      <c r="A67" s="199"/>
      <c r="B67" s="200"/>
      <c r="C67" s="200"/>
      <c r="D67" s="200"/>
      <c r="E67" s="200"/>
      <c r="F67" s="200"/>
      <c r="G67" s="200"/>
    </row>
    <row r="68" spans="1:7" x14ac:dyDescent="0.2">
      <c r="A68" s="199"/>
      <c r="B68" s="200"/>
      <c r="C68" s="200"/>
      <c r="D68" s="200"/>
      <c r="E68" s="200"/>
      <c r="F68" s="200"/>
      <c r="G68" s="200"/>
    </row>
    <row r="69" spans="1:7" x14ac:dyDescent="0.2">
      <c r="A69" s="199"/>
      <c r="B69" s="200"/>
      <c r="C69" s="200"/>
      <c r="D69" s="200"/>
      <c r="E69" s="200"/>
      <c r="F69" s="200"/>
      <c r="G69" s="200"/>
    </row>
    <row r="70" spans="1:7" x14ac:dyDescent="0.2">
      <c r="A70" s="199"/>
      <c r="B70" s="200"/>
      <c r="C70" s="200"/>
      <c r="D70" s="200"/>
      <c r="E70" s="200"/>
      <c r="F70" s="200"/>
      <c r="G70" s="200"/>
    </row>
    <row r="71" spans="1:7" x14ac:dyDescent="0.2">
      <c r="A71" s="199"/>
      <c r="B71" s="200"/>
      <c r="C71" s="200"/>
      <c r="D71" s="200"/>
      <c r="E71" s="200"/>
      <c r="F71" s="200"/>
      <c r="G71" s="200"/>
    </row>
    <row r="72" spans="1:7" x14ac:dyDescent="0.2">
      <c r="A72" s="199"/>
      <c r="B72" s="200"/>
      <c r="C72" s="200"/>
      <c r="D72" s="200"/>
      <c r="E72" s="200"/>
      <c r="F72" s="200"/>
      <c r="G72" s="200"/>
    </row>
    <row r="73" spans="1:7" x14ac:dyDescent="0.2">
      <c r="A73" s="199"/>
      <c r="B73" s="200"/>
      <c r="C73" s="200"/>
      <c r="D73" s="200"/>
      <c r="E73" s="200"/>
      <c r="F73" s="200"/>
      <c r="G73" s="200"/>
    </row>
    <row r="74" spans="1:7" x14ac:dyDescent="0.2">
      <c r="A74" s="199"/>
      <c r="B74" s="200"/>
      <c r="C74" s="200"/>
      <c r="D74" s="200"/>
      <c r="E74" s="200"/>
      <c r="F74" s="200"/>
      <c r="G74" s="200"/>
    </row>
    <row r="75" spans="1:7" x14ac:dyDescent="0.2">
      <c r="A75" s="199"/>
      <c r="B75" s="200"/>
      <c r="C75" s="200"/>
      <c r="D75" s="200"/>
      <c r="E75" s="200"/>
      <c r="F75" s="200"/>
      <c r="G75" s="200"/>
    </row>
    <row r="76" spans="1:7" x14ac:dyDescent="0.2">
      <c r="A76" s="199"/>
      <c r="B76" s="200"/>
      <c r="C76" s="200"/>
      <c r="D76" s="200"/>
      <c r="E76" s="200"/>
      <c r="F76" s="200"/>
      <c r="G76" s="200"/>
    </row>
    <row r="77" spans="1:7" x14ac:dyDescent="0.2">
      <c r="A77" s="199"/>
      <c r="B77" s="200"/>
      <c r="C77" s="200"/>
      <c r="D77" s="200"/>
      <c r="E77" s="200"/>
      <c r="F77" s="200"/>
      <c r="G77" s="200"/>
    </row>
    <row r="78" spans="1:7" x14ac:dyDescent="0.2">
      <c r="A78" s="199"/>
      <c r="B78" s="200"/>
      <c r="C78" s="200"/>
      <c r="D78" s="200"/>
      <c r="E78" s="200"/>
      <c r="F78" s="200"/>
      <c r="G78" s="200"/>
    </row>
    <row r="79" spans="1:7" x14ac:dyDescent="0.2">
      <c r="A79" s="199"/>
      <c r="B79" s="200"/>
      <c r="C79" s="200"/>
      <c r="D79" s="200"/>
      <c r="E79" s="200"/>
      <c r="F79" s="200"/>
      <c r="G79" s="200"/>
    </row>
    <row r="80" spans="1:7" x14ac:dyDescent="0.2">
      <c r="A80" s="199"/>
      <c r="B80" s="200"/>
      <c r="C80" s="200"/>
      <c r="D80" s="200"/>
      <c r="E80" s="200"/>
      <c r="F80" s="200"/>
      <c r="G80" s="200"/>
    </row>
    <row r="81" spans="1:7" x14ac:dyDescent="0.2">
      <c r="A81" s="199"/>
      <c r="B81" s="200"/>
      <c r="C81" s="200"/>
      <c r="D81" s="200"/>
      <c r="E81" s="200"/>
      <c r="F81" s="200"/>
      <c r="G81" s="200"/>
    </row>
    <row r="82" spans="1:7" x14ac:dyDescent="0.2">
      <c r="A82" s="199"/>
      <c r="B82" s="200"/>
      <c r="C82" s="200"/>
      <c r="D82" s="200"/>
      <c r="E82" s="200"/>
      <c r="F82" s="200"/>
      <c r="G82" s="200"/>
    </row>
    <row r="83" spans="1:7" x14ac:dyDescent="0.2">
      <c r="A83" s="199"/>
      <c r="B83" s="200"/>
      <c r="C83" s="200"/>
      <c r="D83" s="200"/>
      <c r="E83" s="200"/>
      <c r="F83" s="200"/>
      <c r="G83" s="200"/>
    </row>
    <row r="84" spans="1:7" x14ac:dyDescent="0.2">
      <c r="A84" s="199"/>
      <c r="B84" s="200"/>
      <c r="C84" s="200"/>
      <c r="D84" s="200"/>
      <c r="E84" s="200"/>
      <c r="F84" s="200"/>
      <c r="G84" s="200"/>
    </row>
    <row r="85" spans="1:7" x14ac:dyDescent="0.2">
      <c r="A85" s="199"/>
      <c r="B85" s="200"/>
      <c r="C85" s="200"/>
      <c r="D85" s="200"/>
      <c r="E85" s="200"/>
      <c r="F85" s="200"/>
      <c r="G85" s="200"/>
    </row>
    <row r="86" spans="1:7" x14ac:dyDescent="0.2">
      <c r="A86" s="199"/>
      <c r="B86" s="200"/>
      <c r="C86" s="200"/>
      <c r="D86" s="200"/>
      <c r="E86" s="200"/>
      <c r="F86" s="200"/>
      <c r="G86" s="200"/>
    </row>
    <row r="87" spans="1:7" x14ac:dyDescent="0.2">
      <c r="A87" s="199"/>
      <c r="B87" s="200"/>
      <c r="C87" s="200"/>
      <c r="D87" s="200"/>
      <c r="E87" s="200"/>
      <c r="F87" s="200"/>
      <c r="G87" s="200"/>
    </row>
    <row r="88" spans="1:7" x14ac:dyDescent="0.2">
      <c r="A88" s="199"/>
      <c r="B88" s="200"/>
      <c r="C88" s="200"/>
      <c r="D88" s="200"/>
      <c r="E88" s="200"/>
      <c r="F88" s="200"/>
      <c r="G88" s="200"/>
    </row>
    <row r="89" spans="1:7" x14ac:dyDescent="0.2">
      <c r="A89" s="199"/>
      <c r="B89" s="200"/>
      <c r="C89" s="200"/>
      <c r="D89" s="200"/>
      <c r="E89" s="200"/>
      <c r="F89" s="200"/>
      <c r="G89" s="200"/>
    </row>
    <row r="90" spans="1:7" x14ac:dyDescent="0.2">
      <c r="A90" s="199"/>
      <c r="B90" s="200"/>
      <c r="C90" s="200"/>
      <c r="D90" s="200"/>
      <c r="E90" s="200"/>
      <c r="F90" s="200"/>
      <c r="G90" s="200"/>
    </row>
    <row r="91" spans="1:7" x14ac:dyDescent="0.2">
      <c r="A91" s="199"/>
      <c r="B91" s="200"/>
      <c r="C91" s="200"/>
      <c r="D91" s="200"/>
      <c r="E91" s="200"/>
      <c r="F91" s="200"/>
      <c r="G91" s="200"/>
    </row>
    <row r="92" spans="1:7" x14ac:dyDescent="0.2">
      <c r="A92" s="199"/>
      <c r="B92" s="200"/>
      <c r="C92" s="200"/>
      <c r="D92" s="200"/>
      <c r="E92" s="200"/>
      <c r="F92" s="200"/>
      <c r="G92" s="200"/>
    </row>
    <row r="93" spans="1:7" x14ac:dyDescent="0.2">
      <c r="A93" s="199"/>
      <c r="B93" s="200"/>
      <c r="C93" s="200"/>
      <c r="D93" s="200"/>
      <c r="E93" s="200"/>
      <c r="F93" s="200"/>
      <c r="G93" s="200"/>
    </row>
    <row r="94" spans="1:7" x14ac:dyDescent="0.2">
      <c r="A94" s="199"/>
      <c r="B94" s="200"/>
      <c r="C94" s="200"/>
      <c r="D94" s="200"/>
      <c r="E94" s="200"/>
      <c r="F94" s="200"/>
      <c r="G94" s="200"/>
    </row>
    <row r="95" spans="1:7" x14ac:dyDescent="0.2">
      <c r="A95" s="199"/>
      <c r="B95" s="200"/>
      <c r="C95" s="200"/>
      <c r="D95" s="200"/>
      <c r="E95" s="200"/>
      <c r="F95" s="200"/>
      <c r="G95" s="200"/>
    </row>
    <row r="96" spans="1:7" x14ac:dyDescent="0.2">
      <c r="A96" s="199"/>
      <c r="B96" s="200"/>
      <c r="C96" s="200"/>
      <c r="D96" s="200"/>
      <c r="E96" s="200"/>
      <c r="F96" s="200"/>
      <c r="G96" s="200"/>
    </row>
    <row r="97" spans="1:7" x14ac:dyDescent="0.2">
      <c r="A97" s="199"/>
      <c r="B97" s="200"/>
      <c r="C97" s="200"/>
      <c r="D97" s="200"/>
      <c r="E97" s="200"/>
      <c r="F97" s="200"/>
      <c r="G97" s="200"/>
    </row>
    <row r="98" spans="1:7" x14ac:dyDescent="0.2">
      <c r="A98" s="199"/>
      <c r="B98" s="200"/>
      <c r="C98" s="200"/>
      <c r="D98" s="200"/>
      <c r="E98" s="200"/>
      <c r="F98" s="200"/>
      <c r="G98" s="200"/>
    </row>
    <row r="99" spans="1:7" x14ac:dyDescent="0.2">
      <c r="A99" s="199"/>
      <c r="B99" s="200"/>
      <c r="C99" s="200"/>
      <c r="D99" s="200"/>
      <c r="E99" s="200"/>
      <c r="F99" s="200"/>
      <c r="G99" s="200"/>
    </row>
    <row r="100" spans="1:7" x14ac:dyDescent="0.2">
      <c r="A100" s="199"/>
      <c r="B100" s="200"/>
      <c r="C100" s="200"/>
      <c r="D100" s="200"/>
      <c r="E100" s="200"/>
      <c r="F100" s="200"/>
      <c r="G100" s="200"/>
    </row>
    <row r="101" spans="1:7" x14ac:dyDescent="0.2">
      <c r="A101" s="199"/>
      <c r="B101" s="200"/>
      <c r="C101" s="200"/>
      <c r="D101" s="200"/>
      <c r="E101" s="200"/>
      <c r="F101" s="200"/>
      <c r="G101" s="200"/>
    </row>
    <row r="102" spans="1:7" x14ac:dyDescent="0.2">
      <c r="A102" s="199"/>
      <c r="B102" s="200"/>
      <c r="C102" s="200"/>
      <c r="D102" s="200"/>
      <c r="E102" s="200"/>
      <c r="F102" s="200"/>
      <c r="G102" s="200"/>
    </row>
    <row r="103" spans="1:7" x14ac:dyDescent="0.2">
      <c r="A103" s="199"/>
      <c r="B103" s="200"/>
      <c r="C103" s="200"/>
      <c r="D103" s="200"/>
      <c r="E103" s="200"/>
      <c r="F103" s="200"/>
      <c r="G103" s="200"/>
    </row>
    <row r="104" spans="1:7" x14ac:dyDescent="0.2">
      <c r="A104" s="199"/>
      <c r="B104" s="200"/>
      <c r="C104" s="200"/>
      <c r="D104" s="200"/>
      <c r="E104" s="200"/>
      <c r="F104" s="200"/>
      <c r="G104" s="200"/>
    </row>
    <row r="105" spans="1:7" x14ac:dyDescent="0.2">
      <c r="A105" s="199"/>
      <c r="B105" s="200"/>
      <c r="C105" s="200"/>
      <c r="D105" s="200"/>
      <c r="E105" s="200"/>
      <c r="F105" s="200"/>
      <c r="G105" s="200"/>
    </row>
    <row r="106" spans="1:7" x14ac:dyDescent="0.2">
      <c r="A106" s="199"/>
      <c r="B106" s="200"/>
      <c r="C106" s="200"/>
      <c r="D106" s="200"/>
      <c r="E106" s="200"/>
      <c r="F106" s="200"/>
      <c r="G106" s="200"/>
    </row>
    <row r="107" spans="1:7" x14ac:dyDescent="0.2">
      <c r="A107" s="199"/>
      <c r="B107" s="200"/>
      <c r="C107" s="200"/>
      <c r="D107" s="200"/>
      <c r="E107" s="200"/>
      <c r="F107" s="200"/>
      <c r="G107" s="200"/>
    </row>
    <row r="108" spans="1:7" x14ac:dyDescent="0.2">
      <c r="A108" s="199"/>
      <c r="B108" s="200"/>
      <c r="C108" s="200"/>
      <c r="D108" s="200"/>
      <c r="E108" s="200"/>
      <c r="F108" s="200"/>
      <c r="G108" s="200"/>
    </row>
    <row r="109" spans="1:7" x14ac:dyDescent="0.2">
      <c r="A109" s="199"/>
      <c r="B109" s="200"/>
      <c r="C109" s="200"/>
      <c r="D109" s="200"/>
      <c r="E109" s="200"/>
      <c r="F109" s="200"/>
      <c r="G109" s="200"/>
    </row>
    <row r="110" spans="1:7" x14ac:dyDescent="0.2">
      <c r="A110" s="199"/>
      <c r="B110" s="200"/>
      <c r="C110" s="200"/>
      <c r="D110" s="200"/>
      <c r="E110" s="200"/>
      <c r="F110" s="200"/>
      <c r="G110" s="200"/>
    </row>
    <row r="111" spans="1:7" x14ac:dyDescent="0.2">
      <c r="A111" s="199"/>
      <c r="B111" s="200"/>
      <c r="C111" s="200"/>
      <c r="D111" s="200"/>
      <c r="E111" s="200"/>
      <c r="F111" s="200"/>
      <c r="G111" s="200"/>
    </row>
    <row r="112" spans="1:7" x14ac:dyDescent="0.2">
      <c r="A112" s="199"/>
      <c r="B112" s="200"/>
      <c r="C112" s="200"/>
      <c r="D112" s="200"/>
      <c r="E112" s="200"/>
      <c r="F112" s="200"/>
      <c r="G112" s="200"/>
    </row>
    <row r="113" spans="1:7" x14ac:dyDescent="0.2">
      <c r="A113" s="199"/>
      <c r="B113" s="200"/>
      <c r="C113" s="200"/>
      <c r="D113" s="200"/>
      <c r="E113" s="200"/>
      <c r="F113" s="200"/>
      <c r="G113" s="200"/>
    </row>
    <row r="114" spans="1:7" x14ac:dyDescent="0.2">
      <c r="A114" s="199"/>
      <c r="B114" s="200"/>
      <c r="C114" s="200"/>
      <c r="D114" s="200"/>
      <c r="E114" s="200"/>
      <c r="F114" s="200"/>
      <c r="G114" s="200"/>
    </row>
    <row r="115" spans="1:7" x14ac:dyDescent="0.2">
      <c r="A115" s="199"/>
      <c r="B115" s="200"/>
      <c r="C115" s="200"/>
      <c r="D115" s="200"/>
      <c r="E115" s="200"/>
      <c r="F115" s="200"/>
      <c r="G115" s="200"/>
    </row>
    <row r="116" spans="1:7" x14ac:dyDescent="0.2">
      <c r="A116" s="199"/>
      <c r="B116" s="200"/>
      <c r="C116" s="200"/>
      <c r="D116" s="200"/>
      <c r="E116" s="200"/>
      <c r="F116" s="200"/>
      <c r="G116" s="200"/>
    </row>
    <row r="117" spans="1:7" x14ac:dyDescent="0.2">
      <c r="A117" s="199"/>
      <c r="B117" s="200"/>
      <c r="C117" s="200"/>
      <c r="D117" s="200"/>
      <c r="E117" s="200"/>
      <c r="F117" s="200"/>
      <c r="G117" s="200"/>
    </row>
    <row r="118" spans="1:7" x14ac:dyDescent="0.2">
      <c r="A118" s="199"/>
      <c r="B118" s="200"/>
      <c r="C118" s="200"/>
      <c r="D118" s="200"/>
      <c r="E118" s="200"/>
      <c r="F118" s="200"/>
      <c r="G118" s="200"/>
    </row>
    <row r="119" spans="1:7" x14ac:dyDescent="0.2">
      <c r="A119" s="199"/>
      <c r="B119" s="200"/>
      <c r="C119" s="200"/>
      <c r="D119" s="200"/>
      <c r="E119" s="200"/>
      <c r="F119" s="200"/>
      <c r="G119" s="200"/>
    </row>
    <row r="120" spans="1:7" x14ac:dyDescent="0.2">
      <c r="A120" s="199"/>
      <c r="B120" s="200"/>
      <c r="C120" s="200"/>
      <c r="D120" s="200"/>
      <c r="E120" s="200"/>
      <c r="F120" s="200"/>
      <c r="G120" s="200"/>
    </row>
    <row r="121" spans="1:7" x14ac:dyDescent="0.2">
      <c r="A121" s="199"/>
      <c r="B121" s="200"/>
      <c r="C121" s="200"/>
      <c r="D121" s="200"/>
      <c r="E121" s="200"/>
      <c r="F121" s="200"/>
      <c r="G121" s="200"/>
    </row>
    <row r="122" spans="1:7" x14ac:dyDescent="0.2">
      <c r="A122" s="199"/>
      <c r="B122" s="200"/>
      <c r="C122" s="200"/>
      <c r="D122" s="200"/>
      <c r="E122" s="200"/>
      <c r="F122" s="200"/>
      <c r="G122" s="200"/>
    </row>
    <row r="123" spans="1:7" x14ac:dyDescent="0.2">
      <c r="A123" s="199"/>
      <c r="B123" s="200"/>
      <c r="C123" s="200"/>
      <c r="D123" s="200"/>
      <c r="E123" s="200"/>
      <c r="F123" s="200"/>
      <c r="G123" s="200"/>
    </row>
    <row r="124" spans="1:7" x14ac:dyDescent="0.2">
      <c r="A124" s="199"/>
      <c r="B124" s="200"/>
      <c r="C124" s="200"/>
      <c r="D124" s="200"/>
      <c r="E124" s="200"/>
      <c r="F124" s="200"/>
      <c r="G124" s="200"/>
    </row>
    <row r="125" spans="1:7" x14ac:dyDescent="0.2">
      <c r="A125" s="199"/>
      <c r="B125" s="200"/>
      <c r="C125" s="200"/>
      <c r="D125" s="200"/>
      <c r="E125" s="200"/>
      <c r="F125" s="200"/>
      <c r="G125" s="200"/>
    </row>
    <row r="126" spans="1:7" x14ac:dyDescent="0.2">
      <c r="A126" s="199"/>
      <c r="B126" s="200"/>
      <c r="C126" s="200"/>
      <c r="D126" s="200"/>
      <c r="E126" s="200"/>
      <c r="F126" s="200"/>
      <c r="G126" s="200"/>
    </row>
    <row r="127" spans="1:7" x14ac:dyDescent="0.2">
      <c r="A127" s="199"/>
      <c r="B127" s="200"/>
      <c r="C127" s="200"/>
      <c r="D127" s="200"/>
      <c r="E127" s="200"/>
      <c r="F127" s="200"/>
      <c r="G127" s="200"/>
    </row>
    <row r="128" spans="1:7" x14ac:dyDescent="0.2">
      <c r="A128" s="199"/>
      <c r="B128" s="200"/>
      <c r="C128" s="200"/>
      <c r="D128" s="200"/>
      <c r="E128" s="200"/>
      <c r="F128" s="200"/>
      <c r="G128" s="200"/>
    </row>
    <row r="129" spans="1:7" x14ac:dyDescent="0.2">
      <c r="A129" s="199"/>
      <c r="B129" s="200"/>
      <c r="C129" s="200"/>
      <c r="D129" s="200"/>
      <c r="E129" s="200"/>
      <c r="F129" s="200"/>
      <c r="G129" s="200"/>
    </row>
    <row r="130" spans="1:7" x14ac:dyDescent="0.2">
      <c r="A130" s="199"/>
      <c r="B130" s="200"/>
      <c r="C130" s="200"/>
      <c r="D130" s="200"/>
      <c r="E130" s="200"/>
      <c r="F130" s="200"/>
      <c r="G130" s="200"/>
    </row>
    <row r="131" spans="1:7" x14ac:dyDescent="0.2">
      <c r="A131" s="199"/>
      <c r="B131" s="200"/>
      <c r="C131" s="200"/>
      <c r="D131" s="200"/>
      <c r="E131" s="200"/>
      <c r="F131" s="200"/>
      <c r="G131" s="200"/>
    </row>
    <row r="132" spans="1:7" x14ac:dyDescent="0.2">
      <c r="A132" s="199"/>
      <c r="B132" s="200"/>
      <c r="C132" s="200"/>
      <c r="D132" s="200"/>
      <c r="E132" s="200"/>
      <c r="F132" s="200"/>
      <c r="G132" s="200"/>
    </row>
    <row r="133" spans="1:7" x14ac:dyDescent="0.2">
      <c r="A133" s="199"/>
      <c r="B133" s="200"/>
      <c r="C133" s="200"/>
      <c r="D133" s="200"/>
      <c r="E133" s="200"/>
      <c r="F133" s="200"/>
      <c r="G133" s="200"/>
    </row>
    <row r="134" spans="1:7" x14ac:dyDescent="0.2">
      <c r="A134" s="199"/>
      <c r="B134" s="200"/>
      <c r="C134" s="200"/>
      <c r="D134" s="200"/>
      <c r="E134" s="200"/>
      <c r="F134" s="200"/>
      <c r="G134" s="200"/>
    </row>
    <row r="135" spans="1:7" x14ac:dyDescent="0.2">
      <c r="A135" s="199"/>
      <c r="B135" s="200"/>
      <c r="C135" s="200"/>
      <c r="D135" s="200"/>
      <c r="E135" s="200"/>
      <c r="F135" s="200"/>
      <c r="G135" s="200"/>
    </row>
    <row r="136" spans="1:7" x14ac:dyDescent="0.2">
      <c r="A136" s="199"/>
      <c r="B136" s="200"/>
      <c r="C136" s="200"/>
      <c r="D136" s="200"/>
      <c r="E136" s="200"/>
      <c r="F136" s="200"/>
      <c r="G136" s="200"/>
    </row>
    <row r="137" spans="1:7" x14ac:dyDescent="0.2">
      <c r="A137" s="199"/>
      <c r="B137" s="200"/>
      <c r="C137" s="200"/>
      <c r="D137" s="200"/>
      <c r="E137" s="200"/>
      <c r="F137" s="200"/>
      <c r="G137" s="200"/>
    </row>
    <row r="138" spans="1:7" x14ac:dyDescent="0.2">
      <c r="A138" s="199"/>
      <c r="B138" s="200"/>
      <c r="C138" s="200"/>
      <c r="D138" s="200"/>
      <c r="E138" s="200"/>
      <c r="F138" s="200"/>
      <c r="G138" s="200"/>
    </row>
    <row r="139" spans="1:7" x14ac:dyDescent="0.2">
      <c r="A139" s="199"/>
      <c r="B139" s="200"/>
      <c r="C139" s="200"/>
      <c r="D139" s="200"/>
      <c r="E139" s="200"/>
      <c r="F139" s="200"/>
      <c r="G139" s="200"/>
    </row>
    <row r="140" spans="1:7" x14ac:dyDescent="0.2">
      <c r="A140" s="199"/>
      <c r="B140" s="200"/>
      <c r="C140" s="200"/>
      <c r="D140" s="200"/>
      <c r="E140" s="200"/>
      <c r="F140" s="200"/>
      <c r="G140" s="200"/>
    </row>
    <row r="141" spans="1:7" x14ac:dyDescent="0.2">
      <c r="A141" s="199"/>
      <c r="B141" s="200"/>
      <c r="C141" s="200"/>
      <c r="D141" s="200"/>
      <c r="E141" s="200"/>
      <c r="F141" s="200"/>
      <c r="G141" s="200"/>
    </row>
    <row r="142" spans="1:7" x14ac:dyDescent="0.2">
      <c r="A142" s="199"/>
      <c r="B142" s="200"/>
      <c r="C142" s="200"/>
      <c r="D142" s="200"/>
      <c r="E142" s="200"/>
      <c r="F142" s="200"/>
      <c r="G142" s="200"/>
    </row>
    <row r="143" spans="1:7" x14ac:dyDescent="0.2">
      <c r="A143" s="199"/>
      <c r="B143" s="200"/>
      <c r="C143" s="200"/>
      <c r="D143" s="200"/>
      <c r="E143" s="200"/>
      <c r="F143" s="200"/>
      <c r="G143" s="200"/>
    </row>
    <row r="144" spans="1:7" x14ac:dyDescent="0.2">
      <c r="A144" s="200"/>
      <c r="B144" s="200"/>
      <c r="C144" s="200"/>
      <c r="D144" s="200"/>
      <c r="E144" s="200"/>
      <c r="F144" s="200"/>
      <c r="G144" s="200"/>
    </row>
    <row r="145" spans="1:7" x14ac:dyDescent="0.2">
      <c r="A145" s="199"/>
      <c r="B145" s="200"/>
      <c r="C145" s="200"/>
      <c r="D145" s="200"/>
      <c r="E145" s="200"/>
      <c r="F145" s="200"/>
      <c r="G145" s="200"/>
    </row>
    <row r="146" spans="1:7" x14ac:dyDescent="0.2">
      <c r="A146" s="199"/>
      <c r="B146" s="200"/>
      <c r="C146" s="200"/>
      <c r="D146" s="200"/>
      <c r="E146" s="200"/>
      <c r="F146" s="200"/>
      <c r="G146" s="200"/>
    </row>
    <row r="147" spans="1:7" x14ac:dyDescent="0.2">
      <c r="A147" s="199"/>
      <c r="B147" s="200"/>
      <c r="C147" s="200"/>
      <c r="D147" s="200"/>
      <c r="E147" s="200"/>
      <c r="F147" s="200"/>
      <c r="G147" s="200"/>
    </row>
    <row r="148" spans="1:7" x14ac:dyDescent="0.2">
      <c r="A148" s="199"/>
      <c r="B148" s="200"/>
      <c r="C148" s="200"/>
      <c r="D148" s="200"/>
      <c r="E148" s="200"/>
      <c r="F148" s="200"/>
      <c r="G148" s="200"/>
    </row>
    <row r="149" spans="1:7" x14ac:dyDescent="0.2">
      <c r="A149" s="199"/>
      <c r="B149" s="200"/>
      <c r="C149" s="200"/>
      <c r="D149" s="200"/>
      <c r="E149" s="200"/>
      <c r="F149" s="200"/>
      <c r="G149" s="200"/>
    </row>
    <row r="150" spans="1:7" x14ac:dyDescent="0.2">
      <c r="A150" s="199"/>
      <c r="B150" s="200"/>
      <c r="C150" s="200"/>
      <c r="D150" s="200"/>
      <c r="E150" s="200"/>
      <c r="F150" s="200"/>
      <c r="G150" s="200"/>
    </row>
    <row r="151" spans="1:7" x14ac:dyDescent="0.2">
      <c r="A151" s="199"/>
      <c r="B151" s="200"/>
      <c r="C151" s="200"/>
      <c r="D151" s="200"/>
      <c r="E151" s="200"/>
      <c r="F151" s="200"/>
      <c r="G151" s="200"/>
    </row>
    <row r="152" spans="1:7" x14ac:dyDescent="0.2">
      <c r="A152" s="199"/>
      <c r="B152" s="200"/>
      <c r="C152" s="200"/>
      <c r="D152" s="200"/>
      <c r="E152" s="200"/>
      <c r="F152" s="200"/>
      <c r="G152" s="200"/>
    </row>
    <row r="153" spans="1:7" x14ac:dyDescent="0.2">
      <c r="A153" s="199"/>
      <c r="B153" s="200"/>
      <c r="C153" s="200"/>
      <c r="D153" s="200"/>
      <c r="E153" s="200"/>
      <c r="F153" s="200"/>
      <c r="G153" s="200"/>
    </row>
    <row r="154" spans="1:7" x14ac:dyDescent="0.2">
      <c r="A154" s="199"/>
      <c r="B154" s="200"/>
      <c r="C154" s="200"/>
      <c r="D154" s="200"/>
      <c r="E154" s="200"/>
      <c r="F154" s="200"/>
      <c r="G154" s="200"/>
    </row>
    <row r="155" spans="1:7" x14ac:dyDescent="0.2">
      <c r="A155" s="199"/>
      <c r="B155" s="200"/>
      <c r="C155" s="200"/>
      <c r="D155" s="200"/>
      <c r="E155" s="200"/>
      <c r="F155" s="200"/>
      <c r="G155" s="200"/>
    </row>
    <row r="156" spans="1:7" x14ac:dyDescent="0.2">
      <c r="A156" s="199"/>
      <c r="B156" s="200"/>
      <c r="C156" s="200"/>
      <c r="D156" s="200"/>
      <c r="E156" s="200"/>
      <c r="F156" s="200"/>
      <c r="G156" s="200"/>
    </row>
    <row r="157" spans="1:7" x14ac:dyDescent="0.2">
      <c r="A157" s="199"/>
      <c r="B157" s="200"/>
      <c r="C157" s="200"/>
      <c r="D157" s="200"/>
      <c r="E157" s="200"/>
      <c r="F157" s="200"/>
      <c r="G157" s="200"/>
    </row>
    <row r="158" spans="1:7" x14ac:dyDescent="0.2">
      <c r="A158" s="199"/>
      <c r="B158" s="200"/>
      <c r="C158" s="200"/>
      <c r="D158" s="200"/>
      <c r="E158" s="200"/>
      <c r="F158" s="200"/>
      <c r="G158" s="200"/>
    </row>
    <row r="159" spans="1:7" x14ac:dyDescent="0.2">
      <c r="A159" s="199"/>
      <c r="B159" s="200"/>
      <c r="C159" s="200"/>
      <c r="D159" s="200"/>
      <c r="E159" s="200"/>
      <c r="F159" s="200"/>
      <c r="G159" s="200"/>
    </row>
    <row r="160" spans="1:7" x14ac:dyDescent="0.2">
      <c r="A160" s="199"/>
      <c r="B160" s="200"/>
      <c r="C160" s="200"/>
      <c r="D160" s="200"/>
      <c r="E160" s="200"/>
      <c r="F160" s="200"/>
      <c r="G160" s="200"/>
    </row>
    <row r="161" spans="1:7" x14ac:dyDescent="0.2">
      <c r="A161" s="199"/>
      <c r="B161" s="200"/>
      <c r="C161" s="200"/>
      <c r="D161" s="200"/>
      <c r="E161" s="200"/>
      <c r="F161" s="200"/>
      <c r="G161" s="200"/>
    </row>
    <row r="162" spans="1:7" x14ac:dyDescent="0.2">
      <c r="A162" s="199"/>
      <c r="B162" s="200"/>
      <c r="C162" s="200"/>
      <c r="D162" s="200"/>
      <c r="E162" s="200"/>
      <c r="F162" s="200"/>
      <c r="G162" s="200"/>
    </row>
    <row r="163" spans="1:7" x14ac:dyDescent="0.2">
      <c r="A163" s="199"/>
      <c r="B163" s="200"/>
      <c r="C163" s="200"/>
      <c r="D163" s="200"/>
      <c r="E163" s="200"/>
      <c r="F163" s="200"/>
      <c r="G163" s="200"/>
    </row>
    <row r="164" spans="1:7" x14ac:dyDescent="0.2">
      <c r="A164" s="199"/>
      <c r="B164" s="200"/>
      <c r="C164" s="200"/>
      <c r="D164" s="200"/>
      <c r="E164" s="200"/>
      <c r="F164" s="200"/>
      <c r="G164" s="200"/>
    </row>
    <row r="165" spans="1:7" x14ac:dyDescent="0.2">
      <c r="A165" s="199"/>
      <c r="B165" s="200"/>
      <c r="C165" s="200"/>
      <c r="D165" s="200"/>
      <c r="E165" s="200"/>
      <c r="F165" s="200"/>
      <c r="G165" s="200"/>
    </row>
    <row r="166" spans="1:7" x14ac:dyDescent="0.2">
      <c r="A166" s="199"/>
      <c r="B166" s="200"/>
      <c r="C166" s="200"/>
      <c r="D166" s="200"/>
      <c r="E166" s="200"/>
      <c r="F166" s="200"/>
      <c r="G166" s="200"/>
    </row>
    <row r="167" spans="1:7" x14ac:dyDescent="0.2">
      <c r="A167" s="199"/>
      <c r="B167" s="200"/>
      <c r="C167" s="200"/>
      <c r="D167" s="200"/>
      <c r="E167" s="200"/>
      <c r="F167" s="200"/>
      <c r="G167" s="200"/>
    </row>
    <row r="168" spans="1:7" x14ac:dyDescent="0.2">
      <c r="A168" s="199"/>
      <c r="B168" s="200"/>
      <c r="C168" s="200"/>
      <c r="D168" s="200"/>
      <c r="E168" s="200"/>
      <c r="F168" s="200"/>
      <c r="G168" s="200"/>
    </row>
    <row r="169" spans="1:7" x14ac:dyDescent="0.2">
      <c r="A169" s="199"/>
      <c r="B169" s="200"/>
      <c r="C169" s="200"/>
      <c r="D169" s="200"/>
      <c r="E169" s="200"/>
      <c r="F169" s="200"/>
      <c r="G169" s="200"/>
    </row>
    <row r="170" spans="1:7" x14ac:dyDescent="0.2">
      <c r="A170" s="199"/>
      <c r="B170" s="200"/>
      <c r="C170" s="200"/>
      <c r="D170" s="200"/>
      <c r="E170" s="200"/>
      <c r="F170" s="200"/>
      <c r="G170" s="200"/>
    </row>
    <row r="171" spans="1:7" x14ac:dyDescent="0.2">
      <c r="A171" s="199"/>
      <c r="B171" s="200"/>
      <c r="C171" s="200"/>
      <c r="D171" s="200"/>
      <c r="E171" s="200"/>
      <c r="F171" s="200"/>
      <c r="G171" s="200"/>
    </row>
    <row r="172" spans="1:7" x14ac:dyDescent="0.2">
      <c r="A172" s="199"/>
      <c r="B172" s="200"/>
      <c r="C172" s="200"/>
      <c r="D172" s="200"/>
      <c r="E172" s="200"/>
      <c r="F172" s="200"/>
      <c r="G172" s="200"/>
    </row>
    <row r="173" spans="1:7" x14ac:dyDescent="0.2">
      <c r="A173" s="199"/>
      <c r="B173" s="200"/>
      <c r="C173" s="200"/>
      <c r="D173" s="200"/>
      <c r="E173" s="200"/>
      <c r="F173" s="200"/>
      <c r="G173" s="200"/>
    </row>
    <row r="174" spans="1:7" x14ac:dyDescent="0.2">
      <c r="A174" s="199"/>
      <c r="B174" s="200"/>
      <c r="C174" s="200"/>
      <c r="D174" s="200"/>
      <c r="E174" s="200"/>
      <c r="F174" s="200"/>
      <c r="G174" s="200"/>
    </row>
    <row r="175" spans="1:7" x14ac:dyDescent="0.2">
      <c r="A175" s="199"/>
      <c r="B175" s="200"/>
      <c r="C175" s="200"/>
      <c r="D175" s="200"/>
      <c r="E175" s="200"/>
      <c r="F175" s="200"/>
      <c r="G175" s="200"/>
    </row>
    <row r="176" spans="1:7" x14ac:dyDescent="0.2">
      <c r="A176" s="199"/>
      <c r="B176" s="200"/>
      <c r="C176" s="200"/>
      <c r="D176" s="200"/>
      <c r="E176" s="200"/>
      <c r="F176" s="200"/>
      <c r="G176" s="200"/>
    </row>
    <row r="177" spans="1:7" x14ac:dyDescent="0.2">
      <c r="A177" s="199"/>
      <c r="B177" s="200"/>
      <c r="C177" s="200"/>
      <c r="D177" s="200"/>
      <c r="E177" s="200"/>
      <c r="F177" s="200"/>
      <c r="G177" s="200"/>
    </row>
    <row r="178" spans="1:7" x14ac:dyDescent="0.2">
      <c r="A178" s="199"/>
      <c r="B178" s="200"/>
      <c r="C178" s="200"/>
      <c r="D178" s="200"/>
      <c r="E178" s="200"/>
      <c r="F178" s="200"/>
      <c r="G178" s="200"/>
    </row>
    <row r="179" spans="1:7" x14ac:dyDescent="0.2">
      <c r="A179" s="199"/>
      <c r="B179" s="200"/>
      <c r="C179" s="200"/>
      <c r="D179" s="200"/>
      <c r="E179" s="200"/>
      <c r="F179" s="200"/>
      <c r="G179" s="200"/>
    </row>
    <row r="180" spans="1:7" x14ac:dyDescent="0.2">
      <c r="A180" s="199"/>
      <c r="B180" s="200"/>
      <c r="C180" s="200"/>
      <c r="D180" s="200"/>
      <c r="E180" s="200"/>
      <c r="F180" s="200"/>
      <c r="G180" s="200"/>
    </row>
    <row r="181" spans="1:7" x14ac:dyDescent="0.2">
      <c r="A181" s="199"/>
      <c r="B181" s="200"/>
      <c r="C181" s="200"/>
      <c r="D181" s="200"/>
      <c r="E181" s="200"/>
      <c r="F181" s="200"/>
      <c r="G181" s="200"/>
    </row>
    <row r="182" spans="1:7" x14ac:dyDescent="0.2">
      <c r="A182" s="199"/>
      <c r="B182" s="200"/>
      <c r="C182" s="200"/>
      <c r="D182" s="200"/>
      <c r="E182" s="200"/>
      <c r="F182" s="200"/>
      <c r="G182" s="200"/>
    </row>
    <row r="183" spans="1:7" x14ac:dyDescent="0.2">
      <c r="A183" s="199"/>
      <c r="B183" s="200"/>
      <c r="C183" s="200"/>
      <c r="D183" s="200"/>
      <c r="E183" s="200"/>
      <c r="F183" s="200"/>
      <c r="G183" s="200"/>
    </row>
    <row r="184" spans="1:7" x14ac:dyDescent="0.2">
      <c r="A184" s="199"/>
      <c r="B184" s="200"/>
      <c r="C184" s="200"/>
      <c r="D184" s="200"/>
      <c r="E184" s="200"/>
      <c r="F184" s="200"/>
      <c r="G184" s="200"/>
    </row>
    <row r="185" spans="1:7" x14ac:dyDescent="0.2">
      <c r="A185" s="199"/>
      <c r="B185" s="200"/>
      <c r="C185" s="200"/>
      <c r="D185" s="200"/>
      <c r="E185" s="200"/>
      <c r="F185" s="200"/>
      <c r="G185" s="200"/>
    </row>
    <row r="186" spans="1:7" x14ac:dyDescent="0.2">
      <c r="A186" s="199"/>
      <c r="B186" s="200"/>
      <c r="C186" s="200"/>
      <c r="D186" s="200"/>
      <c r="E186" s="200"/>
      <c r="F186" s="200"/>
      <c r="G186" s="200"/>
    </row>
    <row r="187" spans="1:7" x14ac:dyDescent="0.2">
      <c r="A187" s="199"/>
      <c r="B187" s="200"/>
      <c r="C187" s="200"/>
      <c r="D187" s="200"/>
      <c r="E187" s="200"/>
      <c r="F187" s="200"/>
      <c r="G187" s="200"/>
    </row>
    <row r="188" spans="1:7" x14ac:dyDescent="0.2">
      <c r="A188" s="199"/>
      <c r="B188" s="200"/>
      <c r="C188" s="200"/>
      <c r="D188" s="200"/>
      <c r="E188" s="200"/>
      <c r="F188" s="200"/>
      <c r="G188" s="200"/>
    </row>
    <row r="189" spans="1:7" x14ac:dyDescent="0.2">
      <c r="A189" s="199"/>
      <c r="B189" s="200"/>
      <c r="C189" s="200"/>
      <c r="D189" s="200"/>
      <c r="E189" s="200"/>
      <c r="F189" s="200"/>
      <c r="G189" s="200"/>
    </row>
    <row r="190" spans="1:7" x14ac:dyDescent="0.2">
      <c r="A190" s="199"/>
      <c r="B190" s="200"/>
      <c r="C190" s="200"/>
      <c r="D190" s="200"/>
      <c r="E190" s="200"/>
      <c r="F190" s="200"/>
      <c r="G190" s="200"/>
    </row>
    <row r="191" spans="1:7" x14ac:dyDescent="0.2">
      <c r="A191" s="199"/>
      <c r="B191" s="200"/>
      <c r="C191" s="200"/>
      <c r="D191" s="200"/>
      <c r="E191" s="200"/>
      <c r="F191" s="200"/>
      <c r="G191" s="200"/>
    </row>
    <row r="192" spans="1:7" x14ac:dyDescent="0.2">
      <c r="A192" s="199"/>
      <c r="B192" s="200"/>
      <c r="C192" s="200"/>
      <c r="D192" s="200"/>
      <c r="E192" s="200"/>
      <c r="F192" s="200"/>
      <c r="G192" s="200"/>
    </row>
    <row r="193" spans="1:7" x14ac:dyDescent="0.2">
      <c r="A193" s="199"/>
      <c r="B193" s="200"/>
      <c r="C193" s="200"/>
      <c r="D193" s="200"/>
      <c r="E193" s="200"/>
      <c r="F193" s="200"/>
      <c r="G193" s="200"/>
    </row>
    <row r="194" spans="1:7" x14ac:dyDescent="0.2">
      <c r="A194" s="199"/>
      <c r="B194" s="200"/>
      <c r="C194" s="200"/>
      <c r="D194" s="200"/>
      <c r="E194" s="200"/>
      <c r="F194" s="200"/>
      <c r="G194" s="200"/>
    </row>
    <row r="195" spans="1:7" x14ac:dyDescent="0.2">
      <c r="A195" s="199"/>
      <c r="B195" s="200"/>
      <c r="C195" s="200"/>
      <c r="D195" s="200"/>
      <c r="E195" s="200"/>
      <c r="F195" s="200"/>
      <c r="G195" s="200"/>
    </row>
    <row r="196" spans="1:7" x14ac:dyDescent="0.2">
      <c r="A196" s="199"/>
      <c r="B196" s="200"/>
      <c r="C196" s="200"/>
      <c r="D196" s="200"/>
      <c r="E196" s="200"/>
      <c r="F196" s="200"/>
      <c r="G196" s="200"/>
    </row>
    <row r="197" spans="1:7" x14ac:dyDescent="0.2">
      <c r="A197" s="199"/>
      <c r="B197" s="200"/>
      <c r="C197" s="200"/>
      <c r="D197" s="200"/>
      <c r="E197" s="200"/>
      <c r="F197" s="200"/>
      <c r="G197" s="200"/>
    </row>
    <row r="198" spans="1:7" x14ac:dyDescent="0.2">
      <c r="A198" s="199"/>
      <c r="B198" s="200"/>
      <c r="C198" s="200"/>
      <c r="D198" s="200"/>
      <c r="E198" s="200"/>
      <c r="F198" s="200"/>
      <c r="G198" s="200"/>
    </row>
    <row r="199" spans="1:7" x14ac:dyDescent="0.2">
      <c r="A199" s="199"/>
      <c r="B199" s="200"/>
      <c r="C199" s="200"/>
      <c r="D199" s="200"/>
      <c r="E199" s="200"/>
      <c r="F199" s="200"/>
      <c r="G199" s="200"/>
    </row>
    <row r="200" spans="1:7" x14ac:dyDescent="0.2">
      <c r="A200" s="199"/>
      <c r="B200" s="200"/>
      <c r="C200" s="200"/>
      <c r="D200" s="200"/>
      <c r="E200" s="200"/>
      <c r="F200" s="200"/>
      <c r="G200" s="200"/>
    </row>
    <row r="201" spans="1:7" x14ac:dyDescent="0.2">
      <c r="A201" s="199"/>
      <c r="B201" s="200"/>
      <c r="C201" s="200"/>
      <c r="D201" s="200"/>
      <c r="E201" s="200"/>
      <c r="F201" s="200"/>
      <c r="G201" s="200"/>
    </row>
    <row r="202" spans="1:7" x14ac:dyDescent="0.2">
      <c r="A202" s="199"/>
      <c r="B202" s="200"/>
      <c r="C202" s="200"/>
      <c r="D202" s="200"/>
      <c r="E202" s="200"/>
      <c r="F202" s="200"/>
      <c r="G202" s="200"/>
    </row>
    <row r="203" spans="1:7" x14ac:dyDescent="0.2">
      <c r="A203" s="199"/>
      <c r="B203" s="200"/>
      <c r="C203" s="200"/>
      <c r="D203" s="200"/>
      <c r="E203" s="200"/>
      <c r="F203" s="200"/>
      <c r="G203" s="200"/>
    </row>
    <row r="204" spans="1:7" x14ac:dyDescent="0.2">
      <c r="A204" s="199"/>
      <c r="B204" s="200"/>
      <c r="C204" s="200"/>
      <c r="D204" s="200"/>
      <c r="E204" s="200"/>
      <c r="F204" s="200"/>
      <c r="G204" s="200"/>
    </row>
    <row r="205" spans="1:7" x14ac:dyDescent="0.2">
      <c r="A205" s="199"/>
      <c r="B205" s="200"/>
      <c r="C205" s="200"/>
      <c r="D205" s="200"/>
      <c r="E205" s="200"/>
      <c r="F205" s="200"/>
      <c r="G205" s="200"/>
    </row>
    <row r="206" spans="1:7" x14ac:dyDescent="0.2">
      <c r="A206" s="199"/>
      <c r="B206" s="200"/>
      <c r="C206" s="200"/>
      <c r="D206" s="200"/>
      <c r="E206" s="200"/>
      <c r="F206" s="200"/>
      <c r="G206" s="200"/>
    </row>
    <row r="207" spans="1:7" x14ac:dyDescent="0.2">
      <c r="A207" s="199"/>
      <c r="B207" s="200"/>
      <c r="C207" s="200"/>
      <c r="D207" s="200"/>
      <c r="E207" s="200"/>
      <c r="F207" s="200"/>
      <c r="G207" s="200"/>
    </row>
    <row r="208" spans="1:7" x14ac:dyDescent="0.2">
      <c r="A208" s="199"/>
      <c r="B208" s="200"/>
      <c r="C208" s="200"/>
      <c r="D208" s="200"/>
      <c r="E208" s="200"/>
      <c r="F208" s="200"/>
      <c r="G208" s="200"/>
    </row>
    <row r="209" spans="1:7" x14ac:dyDescent="0.2">
      <c r="A209" s="199"/>
      <c r="B209" s="200"/>
      <c r="C209" s="200"/>
      <c r="D209" s="200"/>
      <c r="E209" s="200"/>
      <c r="F209" s="200"/>
      <c r="G209" s="200"/>
    </row>
    <row r="210" spans="1:7" x14ac:dyDescent="0.2">
      <c r="A210" s="199"/>
      <c r="B210" s="200"/>
      <c r="C210" s="200"/>
      <c r="D210" s="200"/>
      <c r="E210" s="200"/>
      <c r="F210" s="200"/>
      <c r="G210" s="200"/>
    </row>
    <row r="211" spans="1:7" x14ac:dyDescent="0.2">
      <c r="A211" s="199"/>
      <c r="B211" s="200"/>
      <c r="C211" s="200"/>
      <c r="D211" s="200"/>
      <c r="E211" s="200"/>
      <c r="F211" s="200"/>
      <c r="G211" s="200"/>
    </row>
    <row r="212" spans="1:7" x14ac:dyDescent="0.2">
      <c r="A212" s="199"/>
      <c r="B212" s="200"/>
      <c r="C212" s="200"/>
      <c r="D212" s="200"/>
      <c r="E212" s="200"/>
      <c r="F212" s="200"/>
      <c r="G212" s="200"/>
    </row>
    <row r="213" spans="1:7" x14ac:dyDescent="0.2">
      <c r="A213" s="199"/>
      <c r="B213" s="200"/>
      <c r="C213" s="200"/>
      <c r="D213" s="200"/>
      <c r="E213" s="200"/>
      <c r="F213" s="200"/>
      <c r="G213" s="200"/>
    </row>
    <row r="214" spans="1:7" x14ac:dyDescent="0.2">
      <c r="A214" s="199"/>
      <c r="B214" s="200"/>
      <c r="C214" s="200"/>
      <c r="D214" s="200"/>
      <c r="E214" s="200"/>
      <c r="F214" s="200"/>
      <c r="G214" s="200"/>
    </row>
    <row r="215" spans="1:7" x14ac:dyDescent="0.2">
      <c r="A215" s="199"/>
      <c r="B215" s="200"/>
      <c r="C215" s="200"/>
      <c r="D215" s="200"/>
      <c r="E215" s="200"/>
      <c r="F215" s="200"/>
      <c r="G215" s="200"/>
    </row>
    <row r="216" spans="1:7" x14ac:dyDescent="0.2">
      <c r="A216" s="199"/>
      <c r="B216" s="200"/>
      <c r="C216" s="200"/>
      <c r="D216" s="200"/>
      <c r="E216" s="200"/>
      <c r="F216" s="200"/>
      <c r="G216" s="200"/>
    </row>
    <row r="217" spans="1:7" x14ac:dyDescent="0.2">
      <c r="A217" s="199"/>
      <c r="B217" s="200"/>
      <c r="C217" s="200"/>
      <c r="D217" s="200"/>
      <c r="E217" s="200"/>
      <c r="F217" s="200"/>
      <c r="G217" s="200"/>
    </row>
    <row r="218" spans="1:7" x14ac:dyDescent="0.2">
      <c r="A218" s="199"/>
      <c r="B218" s="200"/>
      <c r="C218" s="200"/>
      <c r="D218" s="200"/>
      <c r="E218" s="200"/>
      <c r="F218" s="200"/>
      <c r="G218" s="200"/>
    </row>
    <row r="219" spans="1:7" x14ac:dyDescent="0.2">
      <c r="A219" s="199"/>
      <c r="B219" s="200"/>
      <c r="C219" s="200"/>
      <c r="D219" s="200"/>
      <c r="E219" s="200"/>
      <c r="F219" s="200"/>
      <c r="G219" s="200"/>
    </row>
    <row r="220" spans="1:7" x14ac:dyDescent="0.2">
      <c r="A220" s="199"/>
      <c r="B220" s="200"/>
      <c r="C220" s="200"/>
      <c r="D220" s="200"/>
      <c r="E220" s="200"/>
      <c r="F220" s="200"/>
      <c r="G220" s="200"/>
    </row>
    <row r="221" spans="1:7" x14ac:dyDescent="0.2">
      <c r="A221" s="199"/>
      <c r="B221" s="200"/>
      <c r="C221" s="200"/>
      <c r="D221" s="200"/>
      <c r="E221" s="200"/>
      <c r="F221" s="200"/>
      <c r="G221" s="200"/>
    </row>
    <row r="222" spans="1:7" x14ac:dyDescent="0.2">
      <c r="A222" s="199"/>
      <c r="B222" s="200"/>
      <c r="C222" s="200"/>
      <c r="D222" s="200"/>
      <c r="E222" s="200"/>
      <c r="F222" s="200"/>
      <c r="G222" s="200"/>
    </row>
    <row r="223" spans="1:7" x14ac:dyDescent="0.2">
      <c r="A223" s="199"/>
      <c r="B223" s="200"/>
      <c r="C223" s="200"/>
      <c r="D223" s="200"/>
      <c r="E223" s="200"/>
      <c r="F223" s="200"/>
      <c r="G223" s="200"/>
    </row>
    <row r="224" spans="1:7" x14ac:dyDescent="0.2">
      <c r="A224" s="199"/>
      <c r="B224" s="200"/>
      <c r="C224" s="200"/>
      <c r="D224" s="200"/>
      <c r="E224" s="200"/>
      <c r="F224" s="200"/>
      <c r="G224" s="200"/>
    </row>
    <row r="225" spans="1:7" x14ac:dyDescent="0.2">
      <c r="A225" s="199"/>
      <c r="B225" s="200"/>
      <c r="C225" s="200"/>
      <c r="D225" s="200"/>
      <c r="E225" s="200"/>
      <c r="F225" s="200"/>
      <c r="G225" s="200"/>
    </row>
    <row r="226" spans="1:7" x14ac:dyDescent="0.2">
      <c r="A226" s="199"/>
      <c r="B226" s="200"/>
      <c r="C226" s="200"/>
      <c r="D226" s="200"/>
      <c r="E226" s="200"/>
      <c r="F226" s="200"/>
      <c r="G226" s="200"/>
    </row>
    <row r="227" spans="1:7" x14ac:dyDescent="0.2">
      <c r="A227" s="199"/>
      <c r="B227" s="200"/>
      <c r="C227" s="200"/>
      <c r="D227" s="200"/>
      <c r="E227" s="200"/>
      <c r="F227" s="200"/>
      <c r="G227" s="200"/>
    </row>
    <row r="228" spans="1:7" x14ac:dyDescent="0.2">
      <c r="A228" s="199"/>
      <c r="B228" s="200"/>
      <c r="C228" s="200"/>
      <c r="D228" s="200"/>
      <c r="E228" s="200"/>
      <c r="F228" s="200"/>
      <c r="G228" s="200"/>
    </row>
    <row r="229" spans="1:7" x14ac:dyDescent="0.2">
      <c r="A229" s="199"/>
      <c r="B229" s="200"/>
      <c r="C229" s="200"/>
      <c r="D229" s="200"/>
      <c r="E229" s="200"/>
      <c r="F229" s="200"/>
      <c r="G229" s="200"/>
    </row>
    <row r="230" spans="1:7" x14ac:dyDescent="0.2">
      <c r="A230" s="199"/>
      <c r="B230" s="200"/>
      <c r="C230" s="200"/>
      <c r="D230" s="200"/>
      <c r="E230" s="200"/>
      <c r="F230" s="200"/>
      <c r="G230" s="200"/>
    </row>
    <row r="231" spans="1:7" x14ac:dyDescent="0.2">
      <c r="A231" s="199"/>
      <c r="B231" s="200"/>
      <c r="C231" s="200"/>
      <c r="D231" s="200"/>
      <c r="E231" s="200"/>
      <c r="F231" s="200"/>
      <c r="G231" s="200"/>
    </row>
    <row r="232" spans="1:7" x14ac:dyDescent="0.2">
      <c r="A232" s="199"/>
      <c r="B232" s="200"/>
      <c r="C232" s="200"/>
      <c r="D232" s="200"/>
      <c r="E232" s="200"/>
      <c r="F232" s="200"/>
      <c r="G232" s="200"/>
    </row>
    <row r="233" spans="1:7" x14ac:dyDescent="0.2">
      <c r="A233" s="199"/>
      <c r="B233" s="200"/>
      <c r="C233" s="200"/>
      <c r="D233" s="200"/>
      <c r="E233" s="200"/>
      <c r="F233" s="200"/>
      <c r="G233" s="200"/>
    </row>
    <row r="234" spans="1:7" x14ac:dyDescent="0.2">
      <c r="A234" s="199"/>
      <c r="B234" s="200"/>
      <c r="C234" s="200"/>
      <c r="D234" s="200"/>
      <c r="E234" s="200"/>
      <c r="F234" s="200"/>
      <c r="G234" s="200"/>
    </row>
    <row r="235" spans="1:7" x14ac:dyDescent="0.2">
      <c r="A235" s="199"/>
      <c r="B235" s="200"/>
      <c r="C235" s="200"/>
      <c r="D235" s="200"/>
      <c r="E235" s="200"/>
      <c r="F235" s="200"/>
      <c r="G235" s="200"/>
    </row>
    <row r="236" spans="1:7" x14ac:dyDescent="0.2">
      <c r="A236" s="199"/>
      <c r="B236" s="200"/>
      <c r="C236" s="200"/>
      <c r="D236" s="200"/>
      <c r="E236" s="200"/>
      <c r="F236" s="200"/>
      <c r="G236" s="200"/>
    </row>
    <row r="237" spans="1:7" x14ac:dyDescent="0.2">
      <c r="A237" s="199"/>
      <c r="B237" s="200"/>
      <c r="C237" s="200"/>
      <c r="D237" s="200"/>
      <c r="E237" s="200"/>
      <c r="F237" s="200"/>
      <c r="G237" s="200"/>
    </row>
    <row r="238" spans="1:7" x14ac:dyDescent="0.2">
      <c r="A238" s="199"/>
      <c r="B238" s="200"/>
      <c r="C238" s="200"/>
      <c r="D238" s="200"/>
      <c r="E238" s="200"/>
      <c r="F238" s="200"/>
      <c r="G238" s="200"/>
    </row>
    <row r="239" spans="1:7" x14ac:dyDescent="0.2">
      <c r="A239" s="199"/>
      <c r="B239" s="200"/>
      <c r="C239" s="200"/>
      <c r="D239" s="200"/>
      <c r="E239" s="200"/>
      <c r="F239" s="200"/>
      <c r="G239" s="200"/>
    </row>
    <row r="240" spans="1:7" x14ac:dyDescent="0.2">
      <c r="A240" s="199"/>
      <c r="B240" s="200"/>
      <c r="C240" s="200"/>
      <c r="D240" s="200"/>
      <c r="E240" s="200"/>
      <c r="F240" s="200"/>
      <c r="G240" s="200"/>
    </row>
    <row r="241" spans="1:7" x14ac:dyDescent="0.2">
      <c r="A241" s="199"/>
      <c r="B241" s="200"/>
      <c r="C241" s="200"/>
      <c r="D241" s="200"/>
      <c r="E241" s="200"/>
      <c r="F241" s="200"/>
      <c r="G241" s="200"/>
    </row>
    <row r="242" spans="1:7" x14ac:dyDescent="0.2">
      <c r="A242" s="199"/>
      <c r="B242" s="200"/>
      <c r="C242" s="200"/>
      <c r="D242" s="200"/>
      <c r="E242" s="200"/>
      <c r="F242" s="200"/>
      <c r="G242" s="200"/>
    </row>
    <row r="243" spans="1:7" x14ac:dyDescent="0.2">
      <c r="A243" s="199"/>
      <c r="B243" s="200"/>
      <c r="C243" s="200"/>
      <c r="D243" s="200"/>
      <c r="E243" s="200"/>
      <c r="F243" s="200"/>
      <c r="G243" s="200"/>
    </row>
    <row r="244" spans="1:7" x14ac:dyDescent="0.2">
      <c r="A244" s="199"/>
      <c r="B244" s="200"/>
      <c r="C244" s="200"/>
      <c r="D244" s="200"/>
      <c r="E244" s="200"/>
      <c r="F244" s="200"/>
      <c r="G244" s="200"/>
    </row>
    <row r="245" spans="1:7" x14ac:dyDescent="0.2">
      <c r="A245" s="199"/>
      <c r="B245" s="200"/>
      <c r="C245" s="200"/>
      <c r="D245" s="200"/>
      <c r="E245" s="200"/>
      <c r="F245" s="200"/>
      <c r="G245" s="200"/>
    </row>
    <row r="246" spans="1:7" x14ac:dyDescent="0.2">
      <c r="A246" s="199"/>
      <c r="B246" s="200"/>
      <c r="C246" s="200"/>
      <c r="D246" s="200"/>
      <c r="E246" s="200"/>
      <c r="F246" s="200"/>
      <c r="G246" s="200"/>
    </row>
    <row r="247" spans="1:7" x14ac:dyDescent="0.2">
      <c r="A247" s="199"/>
      <c r="B247" s="200"/>
      <c r="C247" s="200"/>
      <c r="D247" s="200"/>
      <c r="E247" s="200"/>
      <c r="F247" s="200"/>
      <c r="G247" s="200"/>
    </row>
    <row r="248" spans="1:7" x14ac:dyDescent="0.2">
      <c r="A248" s="199"/>
      <c r="B248" s="200"/>
      <c r="C248" s="200"/>
      <c r="D248" s="200"/>
      <c r="E248" s="200"/>
      <c r="F248" s="200"/>
      <c r="G248" s="200"/>
    </row>
    <row r="249" spans="1:7" x14ac:dyDescent="0.2">
      <c r="A249" s="199"/>
      <c r="B249" s="200"/>
      <c r="C249" s="200"/>
      <c r="D249" s="200"/>
      <c r="E249" s="200"/>
      <c r="F249" s="200"/>
      <c r="G249" s="200"/>
    </row>
    <row r="250" spans="1:7" x14ac:dyDescent="0.2">
      <c r="A250" s="199"/>
      <c r="B250" s="200"/>
      <c r="C250" s="200"/>
      <c r="D250" s="200"/>
      <c r="E250" s="200"/>
      <c r="F250" s="200"/>
      <c r="G250" s="200"/>
    </row>
    <row r="251" spans="1:7" x14ac:dyDescent="0.2">
      <c r="A251" s="199"/>
      <c r="B251" s="200"/>
      <c r="C251" s="200"/>
      <c r="D251" s="200"/>
      <c r="E251" s="200"/>
      <c r="F251" s="200"/>
      <c r="G251" s="200"/>
    </row>
    <row r="252" spans="1:7" x14ac:dyDescent="0.2">
      <c r="A252" s="199"/>
      <c r="B252" s="200"/>
      <c r="C252" s="200"/>
      <c r="D252" s="200"/>
      <c r="E252" s="200"/>
      <c r="F252" s="200"/>
      <c r="G252" s="200"/>
    </row>
    <row r="253" spans="1:7" x14ac:dyDescent="0.2">
      <c r="A253" s="199"/>
      <c r="B253" s="200"/>
      <c r="C253" s="200"/>
      <c r="D253" s="200"/>
      <c r="E253" s="200"/>
      <c r="F253" s="200"/>
      <c r="G253" s="200"/>
    </row>
    <row r="254" spans="1:7" x14ac:dyDescent="0.2">
      <c r="A254" s="199"/>
      <c r="B254" s="200"/>
      <c r="C254" s="200"/>
      <c r="D254" s="200"/>
      <c r="E254" s="200"/>
      <c r="F254" s="200"/>
      <c r="G254" s="200"/>
    </row>
    <row r="255" spans="1:7" x14ac:dyDescent="0.2">
      <c r="A255" s="199"/>
      <c r="B255" s="200"/>
      <c r="C255" s="200"/>
      <c r="D255" s="200"/>
      <c r="E255" s="200"/>
      <c r="F255" s="200"/>
      <c r="G255" s="200"/>
    </row>
    <row r="256" spans="1:7" x14ac:dyDescent="0.2">
      <c r="A256" s="199"/>
      <c r="B256" s="200"/>
      <c r="C256" s="200"/>
      <c r="D256" s="200"/>
      <c r="E256" s="200"/>
      <c r="F256" s="200"/>
      <c r="G256" s="200"/>
    </row>
    <row r="257" spans="1:7" x14ac:dyDescent="0.2">
      <c r="A257" s="199"/>
      <c r="B257" s="200"/>
      <c r="C257" s="200"/>
      <c r="D257" s="200"/>
      <c r="E257" s="200"/>
      <c r="F257" s="200"/>
      <c r="G257" s="200"/>
    </row>
    <row r="258" spans="1:7" x14ac:dyDescent="0.2">
      <c r="A258" s="199"/>
      <c r="B258" s="200"/>
      <c r="C258" s="200"/>
      <c r="D258" s="200"/>
      <c r="E258" s="200"/>
      <c r="F258" s="200"/>
      <c r="G258" s="200"/>
    </row>
    <row r="259" spans="1:7" x14ac:dyDescent="0.2">
      <c r="A259" s="199"/>
      <c r="B259" s="200"/>
      <c r="C259" s="200"/>
      <c r="D259" s="200"/>
      <c r="E259" s="200"/>
      <c r="F259" s="200"/>
      <c r="G259" s="200"/>
    </row>
    <row r="260" spans="1:7" x14ac:dyDescent="0.2">
      <c r="A260" s="199"/>
      <c r="B260" s="200"/>
      <c r="C260" s="200"/>
      <c r="D260" s="200"/>
      <c r="E260" s="200"/>
      <c r="F260" s="200"/>
      <c r="G260" s="200"/>
    </row>
    <row r="261" spans="1:7" x14ac:dyDescent="0.2">
      <c r="A261" s="199"/>
      <c r="B261" s="200"/>
      <c r="C261" s="200"/>
      <c r="D261" s="200"/>
      <c r="E261" s="200"/>
      <c r="F261" s="200"/>
      <c r="G261" s="200"/>
    </row>
    <row r="262" spans="1:7" x14ac:dyDescent="0.2">
      <c r="A262" s="199"/>
      <c r="B262" s="200"/>
      <c r="C262" s="200"/>
      <c r="D262" s="200"/>
      <c r="E262" s="200"/>
      <c r="F262" s="200"/>
      <c r="G262" s="200"/>
    </row>
    <row r="263" spans="1:7" x14ac:dyDescent="0.2">
      <c r="A263" s="199"/>
      <c r="B263" s="200"/>
      <c r="C263" s="200"/>
      <c r="D263" s="200"/>
      <c r="E263" s="200"/>
      <c r="F263" s="200"/>
      <c r="G263" s="200"/>
    </row>
    <row r="264" spans="1:7" x14ac:dyDescent="0.2">
      <c r="A264" s="199"/>
      <c r="B264" s="200"/>
      <c r="C264" s="200"/>
      <c r="D264" s="200"/>
      <c r="E264" s="200"/>
      <c r="F264" s="200"/>
      <c r="G264" s="200"/>
    </row>
    <row r="265" spans="1:7" x14ac:dyDescent="0.2">
      <c r="A265" s="199"/>
      <c r="B265" s="200"/>
      <c r="C265" s="200"/>
      <c r="D265" s="200"/>
      <c r="E265" s="200"/>
      <c r="F265" s="200"/>
      <c r="G265" s="200"/>
    </row>
    <row r="266" spans="1:7" x14ac:dyDescent="0.2">
      <c r="A266" s="199"/>
      <c r="B266" s="200"/>
      <c r="C266" s="200"/>
      <c r="D266" s="200"/>
      <c r="E266" s="200"/>
      <c r="F266" s="200"/>
      <c r="G266" s="200"/>
    </row>
    <row r="267" spans="1:7" x14ac:dyDescent="0.2">
      <c r="A267" s="199"/>
      <c r="B267" s="200"/>
      <c r="C267" s="200"/>
      <c r="D267" s="200"/>
      <c r="E267" s="200"/>
      <c r="F267" s="200"/>
      <c r="G267" s="200"/>
    </row>
    <row r="268" spans="1:7" x14ac:dyDescent="0.2">
      <c r="A268" s="199"/>
      <c r="B268" s="200"/>
      <c r="C268" s="200"/>
      <c r="D268" s="200"/>
      <c r="E268" s="200"/>
      <c r="F268" s="200"/>
      <c r="G268" s="200"/>
    </row>
    <row r="269" spans="1:7" x14ac:dyDescent="0.2">
      <c r="A269" s="199"/>
      <c r="B269" s="200"/>
      <c r="C269" s="200"/>
      <c r="D269" s="200"/>
      <c r="E269" s="200"/>
      <c r="F269" s="200"/>
      <c r="G269" s="200"/>
    </row>
    <row r="270" spans="1:7" x14ac:dyDescent="0.2">
      <c r="A270" s="199"/>
      <c r="B270" s="200"/>
      <c r="C270" s="200"/>
      <c r="D270" s="200"/>
      <c r="E270" s="200"/>
      <c r="F270" s="200"/>
      <c r="G270" s="200"/>
    </row>
    <row r="271" spans="1:7" x14ac:dyDescent="0.2">
      <c r="A271" s="199"/>
      <c r="B271" s="200"/>
      <c r="C271" s="200"/>
      <c r="D271" s="200"/>
      <c r="E271" s="200"/>
      <c r="F271" s="200"/>
      <c r="G271" s="200"/>
    </row>
    <row r="272" spans="1:7" x14ac:dyDescent="0.2">
      <c r="A272" s="199"/>
      <c r="B272" s="200"/>
      <c r="C272" s="200"/>
      <c r="D272" s="200"/>
      <c r="E272" s="200"/>
      <c r="F272" s="200"/>
      <c r="G272" s="200"/>
    </row>
    <row r="273" spans="1:7" x14ac:dyDescent="0.2">
      <c r="A273" s="199"/>
      <c r="B273" s="200"/>
      <c r="C273" s="200"/>
      <c r="D273" s="200"/>
      <c r="E273" s="200"/>
      <c r="F273" s="200"/>
      <c r="G273" s="200"/>
    </row>
    <row r="274" spans="1:7" x14ac:dyDescent="0.2">
      <c r="A274" s="199"/>
      <c r="B274" s="200"/>
      <c r="C274" s="200"/>
      <c r="D274" s="200"/>
      <c r="E274" s="200"/>
      <c r="F274" s="200"/>
      <c r="G274" s="200"/>
    </row>
    <row r="275" spans="1:7" x14ac:dyDescent="0.2">
      <c r="A275" s="199"/>
      <c r="B275" s="200"/>
      <c r="C275" s="200"/>
      <c r="D275" s="200"/>
      <c r="E275" s="200"/>
      <c r="F275" s="200"/>
      <c r="G275" s="200"/>
    </row>
    <row r="276" spans="1:7" x14ac:dyDescent="0.2">
      <c r="A276" s="199"/>
      <c r="B276" s="200"/>
      <c r="C276" s="200"/>
      <c r="D276" s="200"/>
      <c r="E276" s="200"/>
      <c r="F276" s="200"/>
      <c r="G276" s="200"/>
    </row>
    <row r="277" spans="1:7" x14ac:dyDescent="0.2">
      <c r="A277" s="199"/>
      <c r="B277" s="200"/>
      <c r="C277" s="200"/>
      <c r="D277" s="200"/>
      <c r="E277" s="200"/>
      <c r="F277" s="200"/>
      <c r="G277" s="200"/>
    </row>
    <row r="278" spans="1:7" x14ac:dyDescent="0.2">
      <c r="A278" s="199"/>
      <c r="B278" s="200"/>
      <c r="C278" s="200"/>
      <c r="D278" s="200"/>
      <c r="E278" s="200"/>
      <c r="F278" s="200"/>
      <c r="G278" s="200"/>
    </row>
    <row r="279" spans="1:7" x14ac:dyDescent="0.2">
      <c r="A279" s="199"/>
      <c r="B279" s="200"/>
      <c r="C279" s="200"/>
      <c r="D279" s="200"/>
      <c r="E279" s="200"/>
      <c r="F279" s="200"/>
      <c r="G279" s="200"/>
    </row>
    <row r="280" spans="1:7" x14ac:dyDescent="0.2">
      <c r="A280" s="199"/>
      <c r="B280" s="200"/>
      <c r="C280" s="200"/>
      <c r="D280" s="200"/>
      <c r="E280" s="200"/>
      <c r="F280" s="200"/>
      <c r="G280" s="200"/>
    </row>
    <row r="281" spans="1:7" x14ac:dyDescent="0.2">
      <c r="A281" s="199"/>
      <c r="B281" s="200"/>
      <c r="C281" s="200"/>
      <c r="D281" s="200"/>
      <c r="E281" s="200"/>
      <c r="F281" s="200"/>
      <c r="G281" s="200"/>
    </row>
    <row r="282" spans="1:7" x14ac:dyDescent="0.2">
      <c r="A282" s="199"/>
      <c r="B282" s="200"/>
      <c r="C282" s="200"/>
      <c r="D282" s="200"/>
      <c r="E282" s="200"/>
      <c r="F282" s="200"/>
      <c r="G282" s="200"/>
    </row>
    <row r="283" spans="1:7" x14ac:dyDescent="0.2">
      <c r="A283" s="199"/>
      <c r="B283" s="200"/>
      <c r="C283" s="200"/>
      <c r="D283" s="200"/>
      <c r="E283" s="200"/>
      <c r="F283" s="200"/>
      <c r="G283" s="200"/>
    </row>
    <row r="284" spans="1:7" x14ac:dyDescent="0.2">
      <c r="A284" s="199"/>
      <c r="B284" s="200"/>
      <c r="C284" s="200"/>
      <c r="D284" s="200"/>
      <c r="E284" s="200"/>
      <c r="F284" s="200"/>
      <c r="G284" s="200"/>
    </row>
    <row r="285" spans="1:7" x14ac:dyDescent="0.2">
      <c r="A285" s="199"/>
      <c r="B285" s="200"/>
      <c r="C285" s="200"/>
      <c r="D285" s="200"/>
      <c r="E285" s="200"/>
      <c r="F285" s="200"/>
      <c r="G285" s="200"/>
    </row>
    <row r="286" spans="1:7" x14ac:dyDescent="0.2">
      <c r="A286" s="199"/>
      <c r="B286" s="200"/>
      <c r="C286" s="200"/>
      <c r="D286" s="200"/>
      <c r="E286" s="200"/>
      <c r="F286" s="200"/>
      <c r="G286" s="200"/>
    </row>
    <row r="287" spans="1:7" x14ac:dyDescent="0.2">
      <c r="A287" s="199"/>
      <c r="B287" s="200"/>
      <c r="C287" s="200"/>
      <c r="D287" s="200"/>
      <c r="E287" s="200"/>
      <c r="F287" s="200"/>
      <c r="G287" s="200"/>
    </row>
    <row r="288" spans="1:7" x14ac:dyDescent="0.2">
      <c r="A288" s="199"/>
      <c r="B288" s="200"/>
      <c r="C288" s="200"/>
      <c r="D288" s="200"/>
      <c r="E288" s="200"/>
      <c r="F288" s="200"/>
      <c r="G288" s="200"/>
    </row>
    <row r="289" spans="1:7" x14ac:dyDescent="0.2">
      <c r="A289" s="199"/>
      <c r="B289" s="200"/>
      <c r="C289" s="200"/>
      <c r="D289" s="200"/>
      <c r="E289" s="200"/>
      <c r="F289" s="200"/>
      <c r="G289" s="200"/>
    </row>
    <row r="290" spans="1:7" x14ac:dyDescent="0.2">
      <c r="A290" s="199"/>
      <c r="B290" s="200"/>
      <c r="C290" s="200"/>
      <c r="D290" s="200"/>
      <c r="E290" s="200"/>
      <c r="F290" s="200"/>
      <c r="G290" s="200"/>
    </row>
    <row r="291" spans="1:7" x14ac:dyDescent="0.2">
      <c r="A291" s="199"/>
      <c r="B291" s="200"/>
      <c r="C291" s="200"/>
      <c r="D291" s="200"/>
      <c r="E291" s="200"/>
      <c r="F291" s="200"/>
      <c r="G291" s="200"/>
    </row>
    <row r="292" spans="1:7" x14ac:dyDescent="0.2">
      <c r="A292" s="199"/>
      <c r="B292" s="200"/>
      <c r="C292" s="200"/>
      <c r="D292" s="200"/>
      <c r="E292" s="200"/>
      <c r="F292" s="200"/>
      <c r="G292" s="200"/>
    </row>
    <row r="293" spans="1:7" x14ac:dyDescent="0.2">
      <c r="A293" s="199"/>
      <c r="B293" s="200"/>
      <c r="C293" s="200"/>
      <c r="D293" s="200"/>
      <c r="E293" s="200"/>
      <c r="F293" s="200"/>
      <c r="G293" s="200"/>
    </row>
    <row r="294" spans="1:7" x14ac:dyDescent="0.2">
      <c r="A294" s="199"/>
      <c r="B294" s="200"/>
      <c r="C294" s="200"/>
      <c r="D294" s="200"/>
      <c r="E294" s="200"/>
      <c r="F294" s="200"/>
      <c r="G294" s="200"/>
    </row>
    <row r="295" spans="1:7" x14ac:dyDescent="0.2">
      <c r="A295" s="199"/>
      <c r="B295" s="200"/>
      <c r="C295" s="200"/>
      <c r="D295" s="200"/>
      <c r="E295" s="200"/>
      <c r="F295" s="200"/>
      <c r="G295" s="200"/>
    </row>
    <row r="296" spans="1:7" x14ac:dyDescent="0.2">
      <c r="A296" s="199"/>
      <c r="B296" s="200"/>
      <c r="C296" s="200"/>
      <c r="D296" s="200"/>
      <c r="E296" s="200"/>
      <c r="F296" s="200"/>
      <c r="G296" s="200"/>
    </row>
    <row r="297" spans="1:7" x14ac:dyDescent="0.2">
      <c r="A297" s="199"/>
      <c r="B297" s="200"/>
      <c r="C297" s="200"/>
      <c r="D297" s="200"/>
      <c r="E297" s="200"/>
      <c r="F297" s="200"/>
      <c r="G297" s="200"/>
    </row>
    <row r="298" spans="1:7" x14ac:dyDescent="0.2">
      <c r="A298" s="199"/>
      <c r="B298" s="200"/>
      <c r="C298" s="200"/>
      <c r="D298" s="200"/>
      <c r="E298" s="200"/>
      <c r="F298" s="200"/>
      <c r="G298" s="200"/>
    </row>
    <row r="299" spans="1:7" x14ac:dyDescent="0.2">
      <c r="A299" s="199"/>
      <c r="B299" s="200"/>
      <c r="C299" s="200"/>
      <c r="D299" s="200"/>
      <c r="E299" s="200"/>
      <c r="F299" s="200"/>
      <c r="G299" s="200"/>
    </row>
    <row r="300" spans="1:7" x14ac:dyDescent="0.2">
      <c r="A300" s="199"/>
      <c r="B300" s="200"/>
      <c r="C300" s="200"/>
      <c r="D300" s="200"/>
      <c r="E300" s="200"/>
      <c r="F300" s="200"/>
      <c r="G300" s="200"/>
    </row>
    <row r="301" spans="1:7" x14ac:dyDescent="0.2">
      <c r="A301" s="199"/>
      <c r="B301" s="200"/>
      <c r="C301" s="200"/>
      <c r="D301" s="200"/>
      <c r="E301" s="200"/>
      <c r="F301" s="200"/>
      <c r="G301" s="200"/>
    </row>
    <row r="302" spans="1:7" x14ac:dyDescent="0.2">
      <c r="A302" s="199"/>
      <c r="B302" s="200"/>
      <c r="C302" s="200"/>
      <c r="D302" s="200"/>
      <c r="E302" s="200"/>
      <c r="F302" s="200"/>
      <c r="G302" s="200"/>
    </row>
    <row r="303" spans="1:7" x14ac:dyDescent="0.2">
      <c r="A303" s="199"/>
      <c r="B303" s="200"/>
      <c r="C303" s="200"/>
      <c r="D303" s="200"/>
      <c r="E303" s="200"/>
      <c r="F303" s="200"/>
      <c r="G303" s="200"/>
    </row>
    <row r="304" spans="1:7" x14ac:dyDescent="0.2">
      <c r="A304" s="199"/>
      <c r="B304" s="200"/>
      <c r="C304" s="200"/>
      <c r="D304" s="200"/>
      <c r="E304" s="200"/>
      <c r="F304" s="200"/>
      <c r="G304" s="200"/>
    </row>
    <row r="305" spans="1:7" x14ac:dyDescent="0.2">
      <c r="A305" s="199"/>
      <c r="B305" s="200"/>
      <c r="C305" s="200"/>
      <c r="D305" s="200"/>
      <c r="E305" s="200"/>
      <c r="F305" s="200"/>
      <c r="G305" s="200"/>
    </row>
    <row r="306" spans="1:7" x14ac:dyDescent="0.2">
      <c r="A306" s="199"/>
      <c r="B306" s="200"/>
      <c r="C306" s="200"/>
      <c r="D306" s="200"/>
      <c r="E306" s="200"/>
      <c r="F306" s="200"/>
      <c r="G306" s="200"/>
    </row>
    <row r="307" spans="1:7" x14ac:dyDescent="0.2">
      <c r="A307" s="199"/>
      <c r="B307" s="200"/>
      <c r="C307" s="200"/>
      <c r="D307" s="200"/>
      <c r="E307" s="200"/>
      <c r="F307" s="200"/>
      <c r="G307" s="200"/>
    </row>
    <row r="308" spans="1:7" x14ac:dyDescent="0.2">
      <c r="A308" s="199"/>
      <c r="B308" s="200"/>
      <c r="C308" s="200"/>
      <c r="D308" s="200"/>
      <c r="E308" s="200"/>
      <c r="F308" s="200"/>
      <c r="G308" s="200"/>
    </row>
    <row r="309" spans="1:7" x14ac:dyDescent="0.2">
      <c r="A309" s="199"/>
      <c r="B309" s="200"/>
      <c r="C309" s="200"/>
      <c r="D309" s="200"/>
      <c r="E309" s="200"/>
      <c r="F309" s="200"/>
      <c r="G309" s="200"/>
    </row>
    <row r="310" spans="1:7" x14ac:dyDescent="0.2">
      <c r="A310" s="199"/>
      <c r="B310" s="200"/>
      <c r="C310" s="200"/>
      <c r="D310" s="200"/>
      <c r="E310" s="200"/>
      <c r="F310" s="200"/>
      <c r="G310" s="200"/>
    </row>
    <row r="311" spans="1:7" x14ac:dyDescent="0.2">
      <c r="A311" s="199"/>
      <c r="B311" s="200"/>
      <c r="C311" s="200"/>
      <c r="D311" s="200"/>
      <c r="E311" s="200"/>
      <c r="F311" s="200"/>
      <c r="G311" s="200"/>
    </row>
    <row r="312" spans="1:7" x14ac:dyDescent="0.2">
      <c r="A312" s="199"/>
      <c r="B312" s="200"/>
      <c r="C312" s="200"/>
      <c r="D312" s="200"/>
      <c r="E312" s="200"/>
      <c r="F312" s="200"/>
      <c r="G312" s="200"/>
    </row>
    <row r="313" spans="1:7" x14ac:dyDescent="0.2">
      <c r="A313" s="199"/>
      <c r="B313" s="200"/>
      <c r="C313" s="200"/>
      <c r="D313" s="200"/>
      <c r="E313" s="200"/>
      <c r="F313" s="200"/>
      <c r="G313" s="200"/>
    </row>
    <row r="314" spans="1:7" x14ac:dyDescent="0.2">
      <c r="A314" s="199"/>
      <c r="B314" s="200"/>
      <c r="C314" s="200"/>
      <c r="D314" s="200"/>
      <c r="E314" s="200"/>
      <c r="F314" s="200"/>
      <c r="G314" s="200"/>
    </row>
    <row r="315" spans="1:7" x14ac:dyDescent="0.2">
      <c r="A315" s="199"/>
      <c r="B315" s="200"/>
      <c r="C315" s="200"/>
      <c r="D315" s="200"/>
      <c r="E315" s="200"/>
      <c r="F315" s="200"/>
      <c r="G315" s="200"/>
    </row>
    <row r="316" spans="1:7" x14ac:dyDescent="0.2">
      <c r="A316" s="199"/>
      <c r="B316" s="200"/>
      <c r="C316" s="200"/>
      <c r="D316" s="200"/>
      <c r="E316" s="200"/>
      <c r="F316" s="200"/>
      <c r="G316" s="200"/>
    </row>
    <row r="317" spans="1:7" x14ac:dyDescent="0.2">
      <c r="A317" s="199"/>
      <c r="B317" s="200"/>
      <c r="C317" s="200"/>
      <c r="D317" s="200"/>
      <c r="E317" s="200"/>
      <c r="F317" s="200"/>
      <c r="G317" s="200"/>
    </row>
    <row r="318" spans="1:7" x14ac:dyDescent="0.2">
      <c r="A318" s="199"/>
      <c r="B318" s="200"/>
      <c r="C318" s="200"/>
      <c r="D318" s="200"/>
      <c r="E318" s="200"/>
      <c r="F318" s="200"/>
      <c r="G318" s="200"/>
    </row>
    <row r="319" spans="1:7" x14ac:dyDescent="0.2">
      <c r="A319" s="199"/>
      <c r="B319" s="200"/>
      <c r="C319" s="200"/>
      <c r="D319" s="200"/>
      <c r="E319" s="200"/>
      <c r="F319" s="200"/>
      <c r="G319" s="200"/>
    </row>
    <row r="320" spans="1:7" x14ac:dyDescent="0.2">
      <c r="A320" s="199"/>
      <c r="B320" s="200"/>
      <c r="C320" s="200"/>
      <c r="D320" s="200"/>
      <c r="E320" s="200"/>
      <c r="F320" s="200"/>
      <c r="G320" s="200"/>
    </row>
    <row r="321" spans="1:7" x14ac:dyDescent="0.2">
      <c r="A321" s="199"/>
      <c r="B321" s="200"/>
      <c r="C321" s="200"/>
      <c r="D321" s="200"/>
      <c r="E321" s="200"/>
      <c r="F321" s="200"/>
      <c r="G321" s="200"/>
    </row>
    <row r="322" spans="1:7" x14ac:dyDescent="0.2">
      <c r="A322" s="199"/>
      <c r="B322" s="200"/>
      <c r="C322" s="200"/>
      <c r="D322" s="200"/>
      <c r="E322" s="200"/>
      <c r="F322" s="200"/>
      <c r="G322" s="200"/>
    </row>
    <row r="323" spans="1:7" x14ac:dyDescent="0.2">
      <c r="A323" s="199"/>
      <c r="B323" s="200"/>
      <c r="C323" s="200"/>
      <c r="D323" s="200"/>
      <c r="E323" s="200"/>
      <c r="F323" s="200"/>
      <c r="G323" s="200"/>
    </row>
    <row r="324" spans="1:7" x14ac:dyDescent="0.2">
      <c r="A324" s="199"/>
      <c r="B324" s="200"/>
      <c r="C324" s="200"/>
      <c r="D324" s="200"/>
      <c r="E324" s="200"/>
      <c r="F324" s="200"/>
      <c r="G324" s="200"/>
    </row>
    <row r="325" spans="1:7" x14ac:dyDescent="0.2">
      <c r="A325" s="199"/>
      <c r="B325" s="200"/>
      <c r="C325" s="200"/>
      <c r="D325" s="200"/>
      <c r="E325" s="200"/>
      <c r="F325" s="200"/>
      <c r="G325" s="200"/>
    </row>
    <row r="326" spans="1:7" x14ac:dyDescent="0.2">
      <c r="A326" s="199"/>
      <c r="B326" s="200"/>
      <c r="C326" s="200"/>
      <c r="D326" s="200"/>
      <c r="E326" s="200"/>
      <c r="F326" s="200"/>
      <c r="G326" s="200"/>
    </row>
    <row r="327" spans="1:7" x14ac:dyDescent="0.2">
      <c r="A327" s="199"/>
      <c r="B327" s="200"/>
      <c r="C327" s="200"/>
      <c r="D327" s="200"/>
      <c r="E327" s="200"/>
      <c r="F327" s="200"/>
      <c r="G327" s="200"/>
    </row>
    <row r="328" spans="1:7" x14ac:dyDescent="0.2">
      <c r="A328" s="199"/>
      <c r="B328" s="200"/>
      <c r="C328" s="200"/>
      <c r="D328" s="200"/>
      <c r="E328" s="200"/>
      <c r="F328" s="200"/>
      <c r="G328" s="200"/>
    </row>
    <row r="329" spans="1:7" x14ac:dyDescent="0.2">
      <c r="A329" s="199"/>
      <c r="B329" s="200"/>
      <c r="C329" s="200"/>
      <c r="D329" s="200"/>
      <c r="E329" s="200"/>
      <c r="F329" s="200"/>
      <c r="G329" s="200"/>
    </row>
    <row r="330" spans="1:7" x14ac:dyDescent="0.2">
      <c r="A330" s="199"/>
      <c r="B330" s="200"/>
      <c r="C330" s="200"/>
      <c r="D330" s="200"/>
      <c r="E330" s="200"/>
      <c r="F330" s="200"/>
      <c r="G330" s="200"/>
    </row>
    <row r="331" spans="1:7" x14ac:dyDescent="0.2">
      <c r="A331" s="199"/>
      <c r="B331" s="200"/>
      <c r="C331" s="200"/>
      <c r="D331" s="200"/>
      <c r="E331" s="200"/>
      <c r="F331" s="200"/>
      <c r="G331" s="200"/>
    </row>
    <row r="332" spans="1:7" x14ac:dyDescent="0.2">
      <c r="A332" s="199"/>
      <c r="B332" s="200"/>
      <c r="C332" s="200"/>
      <c r="D332" s="200"/>
      <c r="E332" s="200"/>
      <c r="F332" s="200"/>
      <c r="G332" s="200"/>
    </row>
    <row r="333" spans="1:7" x14ac:dyDescent="0.2">
      <c r="A333" s="199"/>
      <c r="B333" s="200"/>
      <c r="C333" s="200"/>
      <c r="D333" s="200"/>
      <c r="E333" s="200"/>
      <c r="F333" s="200"/>
      <c r="G333" s="200"/>
    </row>
    <row r="334" spans="1:7" x14ac:dyDescent="0.2">
      <c r="A334" s="199"/>
      <c r="B334" s="200"/>
      <c r="C334" s="200"/>
      <c r="D334" s="200"/>
      <c r="E334" s="200"/>
      <c r="F334" s="200"/>
      <c r="G334" s="200"/>
    </row>
    <row r="335" spans="1:7" x14ac:dyDescent="0.2">
      <c r="A335" s="199"/>
      <c r="B335" s="200"/>
      <c r="C335" s="200"/>
      <c r="D335" s="200"/>
      <c r="E335" s="200"/>
      <c r="F335" s="200"/>
      <c r="G335" s="200"/>
    </row>
    <row r="336" spans="1:7" x14ac:dyDescent="0.2">
      <c r="A336" s="199"/>
      <c r="B336" s="200"/>
      <c r="C336" s="200"/>
      <c r="D336" s="200"/>
      <c r="E336" s="200"/>
      <c r="F336" s="200"/>
      <c r="G336" s="200"/>
    </row>
    <row r="337" spans="1:7" x14ac:dyDescent="0.2">
      <c r="A337" s="199"/>
      <c r="B337" s="200"/>
      <c r="C337" s="200"/>
      <c r="D337" s="200"/>
      <c r="E337" s="200"/>
      <c r="F337" s="200"/>
      <c r="G337" s="200"/>
    </row>
    <row r="338" spans="1:7" x14ac:dyDescent="0.2">
      <c r="A338" s="199"/>
      <c r="B338" s="200"/>
      <c r="C338" s="200"/>
      <c r="D338" s="200"/>
      <c r="E338" s="200"/>
      <c r="F338" s="200"/>
      <c r="G338" s="200"/>
    </row>
    <row r="339" spans="1:7" x14ac:dyDescent="0.2">
      <c r="A339" s="199"/>
      <c r="B339" s="200"/>
      <c r="C339" s="200"/>
      <c r="D339" s="200"/>
      <c r="E339" s="200"/>
      <c r="F339" s="200"/>
      <c r="G339" s="200"/>
    </row>
    <row r="340" spans="1:7" x14ac:dyDescent="0.2">
      <c r="A340" s="199"/>
      <c r="B340" s="200"/>
      <c r="C340" s="200"/>
      <c r="D340" s="200"/>
      <c r="E340" s="200"/>
      <c r="F340" s="200"/>
      <c r="G340" s="200"/>
    </row>
    <row r="341" spans="1:7" x14ac:dyDescent="0.2">
      <c r="A341" s="199"/>
      <c r="B341" s="200"/>
      <c r="C341" s="200"/>
      <c r="D341" s="200"/>
      <c r="E341" s="200"/>
      <c r="F341" s="200"/>
      <c r="G341" s="200"/>
    </row>
    <row r="342" spans="1:7" x14ac:dyDescent="0.2">
      <c r="A342" s="199"/>
      <c r="B342" s="200"/>
      <c r="C342" s="200"/>
      <c r="D342" s="200"/>
      <c r="E342" s="200"/>
      <c r="F342" s="200"/>
      <c r="G342" s="200"/>
    </row>
    <row r="343" spans="1:7" x14ac:dyDescent="0.2">
      <c r="A343" s="199"/>
      <c r="B343" s="200"/>
      <c r="C343" s="200"/>
      <c r="D343" s="200"/>
      <c r="E343" s="200"/>
      <c r="F343" s="200"/>
      <c r="G343" s="200"/>
    </row>
    <row r="344" spans="1:7" x14ac:dyDescent="0.2">
      <c r="A344" s="199"/>
      <c r="B344" s="200"/>
      <c r="C344" s="200"/>
      <c r="D344" s="200"/>
      <c r="E344" s="200"/>
      <c r="F344" s="200"/>
      <c r="G344" s="200"/>
    </row>
    <row r="345" spans="1:7" x14ac:dyDescent="0.2">
      <c r="A345" s="199"/>
      <c r="B345" s="200"/>
      <c r="C345" s="200"/>
      <c r="D345" s="200"/>
      <c r="E345" s="200"/>
      <c r="F345" s="200"/>
      <c r="G345" s="200"/>
    </row>
    <row r="346" spans="1:7" x14ac:dyDescent="0.2">
      <c r="A346" s="199"/>
      <c r="B346" s="200"/>
      <c r="C346" s="200"/>
      <c r="D346" s="200"/>
      <c r="E346" s="200"/>
      <c r="F346" s="200"/>
      <c r="G346" s="200"/>
    </row>
    <row r="347" spans="1:7" x14ac:dyDescent="0.2">
      <c r="A347" s="199"/>
      <c r="B347" s="200"/>
      <c r="C347" s="200"/>
      <c r="D347" s="200"/>
      <c r="E347" s="200"/>
      <c r="F347" s="200"/>
      <c r="G347" s="200"/>
    </row>
    <row r="348" spans="1:7" x14ac:dyDescent="0.2">
      <c r="A348" s="199"/>
      <c r="B348" s="200"/>
      <c r="C348" s="200"/>
      <c r="D348" s="200"/>
      <c r="E348" s="200"/>
      <c r="F348" s="200"/>
      <c r="G348" s="200"/>
    </row>
    <row r="349" spans="1:7" x14ac:dyDescent="0.2">
      <c r="A349" s="199"/>
      <c r="B349" s="200"/>
      <c r="C349" s="200"/>
      <c r="D349" s="200"/>
      <c r="E349" s="200"/>
      <c r="F349" s="200"/>
      <c r="G349" s="200"/>
    </row>
    <row r="350" spans="1:7" x14ac:dyDescent="0.2">
      <c r="A350" s="199"/>
      <c r="B350" s="200"/>
      <c r="C350" s="200"/>
      <c r="D350" s="200"/>
      <c r="E350" s="200"/>
      <c r="F350" s="200"/>
      <c r="G350" s="200"/>
    </row>
    <row r="351" spans="1:7" x14ac:dyDescent="0.2">
      <c r="A351" s="199"/>
      <c r="B351" s="200"/>
      <c r="C351" s="200"/>
      <c r="D351" s="200"/>
      <c r="E351" s="200"/>
      <c r="F351" s="200"/>
      <c r="G351" s="200"/>
    </row>
    <row r="352" spans="1:7" x14ac:dyDescent="0.2">
      <c r="A352" s="199"/>
      <c r="B352" s="200"/>
      <c r="C352" s="200"/>
      <c r="D352" s="200"/>
      <c r="E352" s="200"/>
      <c r="F352" s="200"/>
      <c r="G352" s="200"/>
    </row>
    <row r="353" spans="1:7" x14ac:dyDescent="0.2">
      <c r="A353" s="199"/>
      <c r="B353" s="200"/>
      <c r="C353" s="200"/>
      <c r="D353" s="200"/>
      <c r="E353" s="200"/>
      <c r="F353" s="200"/>
      <c r="G353" s="200"/>
    </row>
    <row r="354" spans="1:7" x14ac:dyDescent="0.2">
      <c r="A354" s="199"/>
      <c r="B354" s="200"/>
      <c r="C354" s="200"/>
      <c r="D354" s="200"/>
      <c r="E354" s="200"/>
      <c r="F354" s="200"/>
      <c r="G354" s="200"/>
    </row>
    <row r="355" spans="1:7" x14ac:dyDescent="0.2">
      <c r="A355" s="199"/>
      <c r="B355" s="200"/>
      <c r="C355" s="200"/>
      <c r="D355" s="200"/>
      <c r="E355" s="200"/>
      <c r="F355" s="200"/>
      <c r="G355" s="200"/>
    </row>
    <row r="356" spans="1:7" x14ac:dyDescent="0.2">
      <c r="A356" s="199"/>
      <c r="B356" s="200"/>
      <c r="C356" s="200"/>
      <c r="D356" s="200"/>
      <c r="E356" s="200"/>
      <c r="F356" s="200"/>
      <c r="G356" s="200"/>
    </row>
    <row r="357" spans="1:7" x14ac:dyDescent="0.2">
      <c r="A357" s="199"/>
      <c r="B357" s="200"/>
      <c r="C357" s="200"/>
      <c r="D357" s="200"/>
      <c r="E357" s="200"/>
      <c r="F357" s="200"/>
      <c r="G357" s="200"/>
    </row>
    <row r="358" spans="1:7" x14ac:dyDescent="0.2">
      <c r="A358" s="199"/>
      <c r="B358" s="200"/>
      <c r="C358" s="200"/>
      <c r="D358" s="200"/>
      <c r="E358" s="200"/>
      <c r="F358" s="200"/>
      <c r="G358" s="200"/>
    </row>
    <row r="359" spans="1:7" x14ac:dyDescent="0.2">
      <c r="A359" s="199"/>
      <c r="B359" s="200"/>
      <c r="C359" s="200"/>
      <c r="D359" s="200"/>
      <c r="E359" s="200"/>
      <c r="F359" s="200"/>
      <c r="G359" s="200"/>
    </row>
    <row r="360" spans="1:7" x14ac:dyDescent="0.2">
      <c r="A360" s="199"/>
      <c r="B360" s="200"/>
      <c r="C360" s="200"/>
      <c r="D360" s="200"/>
      <c r="E360" s="200"/>
      <c r="F360" s="200"/>
      <c r="G360" s="200"/>
    </row>
    <row r="361" spans="1:7" x14ac:dyDescent="0.2">
      <c r="A361" s="199"/>
      <c r="B361" s="200"/>
      <c r="C361" s="200"/>
      <c r="D361" s="200"/>
      <c r="E361" s="200"/>
      <c r="F361" s="200"/>
      <c r="G361" s="200"/>
    </row>
    <row r="362" spans="1:7" x14ac:dyDescent="0.2">
      <c r="A362" s="199"/>
      <c r="B362" s="200"/>
      <c r="C362" s="200"/>
      <c r="D362" s="200"/>
      <c r="E362" s="200"/>
      <c r="F362" s="200"/>
      <c r="G362" s="200"/>
    </row>
    <row r="363" spans="1:7" x14ac:dyDescent="0.2">
      <c r="A363" s="199"/>
      <c r="B363" s="200"/>
      <c r="C363" s="200"/>
      <c r="D363" s="200"/>
      <c r="E363" s="200"/>
      <c r="F363" s="200"/>
      <c r="G363" s="200"/>
    </row>
    <row r="364" spans="1:7" x14ac:dyDescent="0.2">
      <c r="A364" s="199"/>
      <c r="B364" s="200"/>
      <c r="C364" s="200"/>
      <c r="D364" s="200"/>
      <c r="E364" s="200"/>
      <c r="F364" s="200"/>
      <c r="G364" s="200"/>
    </row>
    <row r="365" spans="1:7" x14ac:dyDescent="0.2">
      <c r="A365" s="199"/>
      <c r="B365" s="200"/>
      <c r="C365" s="200"/>
      <c r="D365" s="200"/>
      <c r="E365" s="200"/>
      <c r="F365" s="200"/>
      <c r="G365" s="200"/>
    </row>
    <row r="366" spans="1:7" x14ac:dyDescent="0.2">
      <c r="A366" s="199"/>
      <c r="B366" s="200"/>
      <c r="C366" s="200"/>
      <c r="D366" s="200"/>
      <c r="E366" s="200"/>
      <c r="F366" s="200"/>
      <c r="G366" s="200"/>
    </row>
    <row r="367" spans="1:7" x14ac:dyDescent="0.2">
      <c r="A367" s="199"/>
      <c r="B367" s="200"/>
      <c r="C367" s="200"/>
      <c r="D367" s="200"/>
      <c r="E367" s="200"/>
      <c r="F367" s="200"/>
      <c r="G367" s="200"/>
    </row>
    <row r="368" spans="1:7" x14ac:dyDescent="0.2">
      <c r="A368" s="199"/>
      <c r="B368" s="200"/>
      <c r="C368" s="200"/>
      <c r="D368" s="200"/>
      <c r="E368" s="200"/>
      <c r="F368" s="200"/>
      <c r="G368" s="200"/>
    </row>
    <row r="369" spans="1:7" x14ac:dyDescent="0.2">
      <c r="A369" s="199"/>
      <c r="B369" s="200"/>
      <c r="C369" s="200"/>
      <c r="D369" s="200"/>
      <c r="E369" s="200"/>
      <c r="F369" s="200"/>
      <c r="G369" s="200"/>
    </row>
    <row r="370" spans="1:7" x14ac:dyDescent="0.2">
      <c r="A370" s="199"/>
      <c r="B370" s="200"/>
      <c r="C370" s="200"/>
      <c r="D370" s="200"/>
      <c r="E370" s="200"/>
      <c r="F370" s="200"/>
      <c r="G370" s="200"/>
    </row>
    <row r="371" spans="1:7" x14ac:dyDescent="0.2">
      <c r="A371" s="199"/>
      <c r="B371" s="200"/>
      <c r="C371" s="200"/>
      <c r="D371" s="200"/>
      <c r="E371" s="200"/>
      <c r="F371" s="200"/>
      <c r="G371" s="200"/>
    </row>
    <row r="372" spans="1:7" x14ac:dyDescent="0.2">
      <c r="A372" s="199"/>
      <c r="B372" s="200"/>
      <c r="C372" s="200"/>
      <c r="D372" s="200"/>
      <c r="E372" s="200"/>
      <c r="F372" s="200"/>
      <c r="G372" s="200"/>
    </row>
    <row r="373" spans="1:7" x14ac:dyDescent="0.2">
      <c r="A373" s="199"/>
      <c r="B373" s="200"/>
      <c r="C373" s="200"/>
      <c r="D373" s="200"/>
      <c r="E373" s="200"/>
      <c r="F373" s="200"/>
      <c r="G373" s="200"/>
    </row>
    <row r="374" spans="1:7" x14ac:dyDescent="0.2">
      <c r="A374" s="199"/>
      <c r="B374" s="200"/>
      <c r="C374" s="200"/>
      <c r="D374" s="200"/>
      <c r="E374" s="200"/>
      <c r="F374" s="200"/>
      <c r="G374" s="200"/>
    </row>
    <row r="375" spans="1:7" x14ac:dyDescent="0.2">
      <c r="A375" s="199"/>
      <c r="B375" s="200"/>
      <c r="C375" s="200"/>
      <c r="D375" s="200"/>
      <c r="E375" s="200"/>
      <c r="F375" s="200"/>
      <c r="G375" s="200"/>
    </row>
    <row r="376" spans="1:7" x14ac:dyDescent="0.2">
      <c r="A376" s="199"/>
      <c r="B376" s="200"/>
      <c r="C376" s="200"/>
      <c r="D376" s="200"/>
      <c r="E376" s="200"/>
      <c r="F376" s="200"/>
      <c r="G376" s="200"/>
    </row>
    <row r="377" spans="1:7" x14ac:dyDescent="0.2">
      <c r="A377" s="199"/>
      <c r="B377" s="200"/>
      <c r="C377" s="200"/>
      <c r="D377" s="200"/>
      <c r="E377" s="200"/>
      <c r="F377" s="200"/>
      <c r="G377" s="200"/>
    </row>
    <row r="378" spans="1:7" x14ac:dyDescent="0.2">
      <c r="A378" s="199"/>
      <c r="B378" s="200"/>
      <c r="C378" s="200"/>
      <c r="D378" s="200"/>
      <c r="E378" s="200"/>
      <c r="F378" s="200"/>
      <c r="G378" s="200"/>
    </row>
    <row r="379" spans="1:7" x14ac:dyDescent="0.2">
      <c r="A379" s="199"/>
      <c r="B379" s="200"/>
      <c r="C379" s="200"/>
      <c r="D379" s="200"/>
      <c r="E379" s="200"/>
      <c r="F379" s="200"/>
      <c r="G379" s="200"/>
    </row>
    <row r="380" spans="1:7" x14ac:dyDescent="0.2">
      <c r="A380" s="199"/>
      <c r="B380" s="200"/>
      <c r="C380" s="200"/>
      <c r="D380" s="200"/>
      <c r="E380" s="200"/>
      <c r="F380" s="200"/>
      <c r="G380" s="200"/>
    </row>
    <row r="381" spans="1:7" x14ac:dyDescent="0.2">
      <c r="A381" s="199"/>
      <c r="B381" s="200"/>
      <c r="C381" s="200"/>
      <c r="D381" s="200"/>
      <c r="E381" s="200"/>
      <c r="F381" s="200"/>
      <c r="G381" s="200"/>
    </row>
    <row r="382" spans="1:7" x14ac:dyDescent="0.2">
      <c r="A382" s="199"/>
      <c r="B382" s="200"/>
      <c r="C382" s="200"/>
      <c r="D382" s="200"/>
      <c r="E382" s="200"/>
      <c r="F382" s="200"/>
      <c r="G382" s="200"/>
    </row>
    <row r="383" spans="1:7" x14ac:dyDescent="0.2">
      <c r="A383" s="199"/>
      <c r="B383" s="200"/>
      <c r="C383" s="200"/>
      <c r="D383" s="200"/>
      <c r="E383" s="200"/>
      <c r="F383" s="200"/>
      <c r="G383" s="200"/>
    </row>
    <row r="384" spans="1:7" x14ac:dyDescent="0.2">
      <c r="A384" s="199"/>
      <c r="B384" s="200"/>
      <c r="C384" s="200"/>
      <c r="D384" s="200"/>
      <c r="E384" s="200"/>
      <c r="F384" s="200"/>
      <c r="G384" s="200"/>
    </row>
    <row r="385" spans="1:7" x14ac:dyDescent="0.2">
      <c r="A385" s="199"/>
      <c r="B385" s="200"/>
      <c r="C385" s="200"/>
      <c r="D385" s="200"/>
      <c r="E385" s="200"/>
      <c r="F385" s="200"/>
      <c r="G385" s="200"/>
    </row>
    <row r="386" spans="1:7" x14ac:dyDescent="0.2">
      <c r="A386" s="199"/>
      <c r="B386" s="200"/>
      <c r="C386" s="200"/>
      <c r="D386" s="200"/>
      <c r="E386" s="200"/>
      <c r="F386" s="200"/>
      <c r="G386" s="200"/>
    </row>
    <row r="387" spans="1:7" x14ac:dyDescent="0.2">
      <c r="A387" s="199"/>
      <c r="B387" s="200"/>
      <c r="C387" s="200"/>
      <c r="D387" s="200"/>
      <c r="E387" s="200"/>
      <c r="F387" s="200"/>
      <c r="G387" s="200"/>
    </row>
    <row r="388" spans="1:7" x14ac:dyDescent="0.2">
      <c r="A388" s="199"/>
      <c r="B388" s="200"/>
      <c r="C388" s="200"/>
      <c r="D388" s="200"/>
      <c r="E388" s="200"/>
      <c r="F388" s="200"/>
      <c r="G388" s="200"/>
    </row>
    <row r="389" spans="1:7" x14ac:dyDescent="0.2">
      <c r="A389" s="199"/>
      <c r="B389" s="200"/>
      <c r="C389" s="200"/>
      <c r="D389" s="200"/>
      <c r="E389" s="200"/>
      <c r="F389" s="200"/>
      <c r="G389" s="200"/>
    </row>
    <row r="390" spans="1:7" x14ac:dyDescent="0.2">
      <c r="A390" s="199"/>
      <c r="B390" s="200"/>
      <c r="C390" s="200"/>
      <c r="D390" s="200"/>
      <c r="E390" s="200"/>
      <c r="F390" s="200"/>
      <c r="G390" s="200"/>
    </row>
    <row r="391" spans="1:7" x14ac:dyDescent="0.2">
      <c r="A391" s="199"/>
      <c r="B391" s="200"/>
      <c r="C391" s="200"/>
      <c r="D391" s="200"/>
      <c r="E391" s="200"/>
      <c r="F391" s="200"/>
      <c r="G391" s="200"/>
    </row>
    <row r="392" spans="1:7" x14ac:dyDescent="0.2">
      <c r="A392" s="199"/>
      <c r="B392" s="200"/>
      <c r="C392" s="200"/>
      <c r="D392" s="200"/>
      <c r="E392" s="200"/>
      <c r="F392" s="200"/>
      <c r="G392" s="200"/>
    </row>
    <row r="393" spans="1:7" x14ac:dyDescent="0.2">
      <c r="A393" s="199"/>
      <c r="B393" s="200"/>
      <c r="C393" s="200"/>
      <c r="D393" s="200"/>
      <c r="E393" s="200"/>
      <c r="F393" s="200"/>
      <c r="G393" s="200"/>
    </row>
    <row r="394" spans="1:7" x14ac:dyDescent="0.2">
      <c r="A394" s="199"/>
      <c r="B394" s="200"/>
      <c r="C394" s="200"/>
      <c r="D394" s="200"/>
      <c r="E394" s="200"/>
      <c r="F394" s="200"/>
      <c r="G394" s="200"/>
    </row>
    <row r="395" spans="1:7" x14ac:dyDescent="0.2">
      <c r="A395" s="199"/>
      <c r="B395" s="200"/>
      <c r="C395" s="200"/>
      <c r="D395" s="200"/>
      <c r="E395" s="200"/>
      <c r="F395" s="200"/>
      <c r="G395" s="200"/>
    </row>
    <row r="396" spans="1:7" x14ac:dyDescent="0.2">
      <c r="A396" s="199"/>
      <c r="B396" s="200"/>
      <c r="C396" s="200"/>
      <c r="D396" s="200"/>
      <c r="E396" s="200"/>
      <c r="F396" s="200"/>
      <c r="G396" s="200"/>
    </row>
    <row r="397" spans="1:7" x14ac:dyDescent="0.2">
      <c r="A397" s="199"/>
      <c r="B397" s="200"/>
      <c r="C397" s="200"/>
      <c r="D397" s="200"/>
      <c r="E397" s="200"/>
      <c r="F397" s="200"/>
      <c r="G397" s="200"/>
    </row>
    <row r="398" spans="1:7" x14ac:dyDescent="0.2">
      <c r="A398" s="199"/>
      <c r="B398" s="200"/>
      <c r="C398" s="200"/>
      <c r="D398" s="200"/>
      <c r="E398" s="200"/>
      <c r="F398" s="200"/>
      <c r="G398" s="200"/>
    </row>
    <row r="399" spans="1:7" x14ac:dyDescent="0.2">
      <c r="A399" s="199"/>
      <c r="B399" s="200"/>
      <c r="C399" s="200"/>
      <c r="D399" s="200"/>
      <c r="E399" s="200"/>
      <c r="F399" s="200"/>
      <c r="G399" s="200"/>
    </row>
    <row r="400" spans="1:7" x14ac:dyDescent="0.2">
      <c r="A400" s="199"/>
      <c r="B400" s="200"/>
      <c r="C400" s="200"/>
      <c r="D400" s="200"/>
      <c r="E400" s="200"/>
      <c r="F400" s="200"/>
      <c r="G400" s="200"/>
    </row>
    <row r="401" spans="1:7" x14ac:dyDescent="0.2">
      <c r="A401" s="199"/>
      <c r="B401" s="200"/>
      <c r="C401" s="200"/>
      <c r="D401" s="200"/>
      <c r="E401" s="200"/>
      <c r="F401" s="200"/>
      <c r="G401" s="200"/>
    </row>
    <row r="402" spans="1:7" x14ac:dyDescent="0.2">
      <c r="A402" s="199"/>
      <c r="B402" s="200"/>
      <c r="C402" s="200"/>
      <c r="D402" s="200"/>
      <c r="E402" s="200"/>
      <c r="F402" s="200"/>
      <c r="G402" s="200"/>
    </row>
    <row r="403" spans="1:7" x14ac:dyDescent="0.2">
      <c r="A403" s="199"/>
      <c r="B403" s="200"/>
      <c r="C403" s="200"/>
      <c r="D403" s="200"/>
      <c r="E403" s="200"/>
      <c r="F403" s="200"/>
      <c r="G403" s="200"/>
    </row>
    <row r="404" spans="1:7" x14ac:dyDescent="0.2">
      <c r="A404" s="199"/>
      <c r="B404" s="200"/>
      <c r="C404" s="200"/>
      <c r="D404" s="200"/>
      <c r="E404" s="200"/>
      <c r="F404" s="200"/>
      <c r="G404" s="200"/>
    </row>
    <row r="405" spans="1:7" x14ac:dyDescent="0.2">
      <c r="A405" s="199"/>
      <c r="B405" s="200"/>
      <c r="C405" s="200"/>
      <c r="D405" s="200"/>
      <c r="E405" s="200"/>
      <c r="F405" s="200"/>
      <c r="G405" s="200"/>
    </row>
    <row r="406" spans="1:7" x14ac:dyDescent="0.2">
      <c r="A406" s="199"/>
      <c r="B406" s="200"/>
      <c r="C406" s="200"/>
      <c r="D406" s="200"/>
      <c r="E406" s="200"/>
      <c r="F406" s="200"/>
      <c r="G406" s="200"/>
    </row>
    <row r="407" spans="1:7" x14ac:dyDescent="0.2">
      <c r="A407" s="199"/>
      <c r="B407" s="200"/>
      <c r="C407" s="200"/>
      <c r="D407" s="200"/>
      <c r="E407" s="200"/>
      <c r="F407" s="200"/>
      <c r="G407" s="200"/>
    </row>
    <row r="408" spans="1:7" x14ac:dyDescent="0.2">
      <c r="A408" s="199"/>
      <c r="B408" s="200"/>
      <c r="C408" s="200"/>
      <c r="D408" s="200"/>
      <c r="E408" s="200"/>
      <c r="F408" s="200"/>
      <c r="G408" s="200"/>
    </row>
    <row r="409" spans="1:7" x14ac:dyDescent="0.2">
      <c r="A409" s="199"/>
      <c r="B409" s="200"/>
      <c r="C409" s="200"/>
      <c r="D409" s="200"/>
      <c r="E409" s="200"/>
      <c r="F409" s="200"/>
      <c r="G409" s="200"/>
    </row>
    <row r="410" spans="1:7" x14ac:dyDescent="0.2">
      <c r="A410" s="199"/>
      <c r="B410" s="200"/>
      <c r="C410" s="200"/>
      <c r="D410" s="200"/>
      <c r="E410" s="200"/>
      <c r="F410" s="200"/>
      <c r="G410" s="200"/>
    </row>
    <row r="411" spans="1:7" x14ac:dyDescent="0.2">
      <c r="A411" s="199"/>
      <c r="B411" s="200"/>
      <c r="C411" s="200"/>
      <c r="D411" s="200"/>
      <c r="E411" s="200"/>
      <c r="F411" s="200"/>
      <c r="G411" s="200"/>
    </row>
    <row r="412" spans="1:7" x14ac:dyDescent="0.2">
      <c r="A412" s="199"/>
      <c r="B412" s="200"/>
      <c r="C412" s="200"/>
      <c r="D412" s="200"/>
      <c r="E412" s="200"/>
      <c r="F412" s="200"/>
      <c r="G412" s="200"/>
    </row>
    <row r="413" spans="1:7" x14ac:dyDescent="0.2">
      <c r="A413" s="199"/>
      <c r="B413" s="200"/>
      <c r="C413" s="200"/>
      <c r="D413" s="200"/>
      <c r="E413" s="200"/>
      <c r="F413" s="200"/>
      <c r="G413" s="200"/>
    </row>
    <row r="414" spans="1:7" x14ac:dyDescent="0.2">
      <c r="A414" s="199"/>
      <c r="B414" s="200"/>
      <c r="C414" s="200"/>
      <c r="D414" s="200"/>
      <c r="E414" s="200"/>
      <c r="F414" s="200"/>
      <c r="G414" s="200"/>
    </row>
    <row r="415" spans="1:7" x14ac:dyDescent="0.2">
      <c r="A415" s="199"/>
      <c r="B415" s="200"/>
      <c r="C415" s="200"/>
      <c r="D415" s="200"/>
      <c r="E415" s="200"/>
      <c r="F415" s="200"/>
      <c r="G415" s="200"/>
    </row>
    <row r="416" spans="1:7" x14ac:dyDescent="0.2">
      <c r="A416" s="199"/>
      <c r="B416" s="200"/>
      <c r="C416" s="200"/>
      <c r="D416" s="200"/>
      <c r="E416" s="200"/>
      <c r="F416" s="200"/>
      <c r="G416" s="200"/>
    </row>
    <row r="417" spans="1:7" x14ac:dyDescent="0.2">
      <c r="A417" s="199"/>
      <c r="B417" s="200"/>
      <c r="C417" s="200"/>
      <c r="D417" s="200"/>
      <c r="E417" s="200"/>
      <c r="F417" s="200"/>
      <c r="G417" s="200"/>
    </row>
    <row r="418" spans="1:7" x14ac:dyDescent="0.2">
      <c r="A418" s="199"/>
      <c r="B418" s="200"/>
      <c r="C418" s="200"/>
      <c r="D418" s="200"/>
      <c r="E418" s="200"/>
      <c r="F418" s="200"/>
      <c r="G418" s="200"/>
    </row>
    <row r="419" spans="1:7" x14ac:dyDescent="0.2">
      <c r="A419" s="199"/>
      <c r="B419" s="200"/>
      <c r="C419" s="200"/>
      <c r="D419" s="200"/>
      <c r="E419" s="200"/>
      <c r="F419" s="200"/>
      <c r="G419" s="200"/>
    </row>
    <row r="420" spans="1:7" x14ac:dyDescent="0.2">
      <c r="A420" s="199"/>
      <c r="B420" s="200"/>
      <c r="C420" s="200"/>
      <c r="D420" s="200"/>
      <c r="E420" s="200"/>
      <c r="F420" s="200"/>
      <c r="G420" s="200"/>
    </row>
    <row r="421" spans="1:7" x14ac:dyDescent="0.2">
      <c r="A421" s="199"/>
      <c r="B421" s="200"/>
      <c r="C421" s="200"/>
      <c r="D421" s="200"/>
      <c r="E421" s="200"/>
      <c r="F421" s="200"/>
      <c r="G421" s="200"/>
    </row>
    <row r="422" spans="1:7" x14ac:dyDescent="0.2">
      <c r="A422" s="199"/>
      <c r="B422" s="200"/>
      <c r="C422" s="200"/>
      <c r="D422" s="200"/>
      <c r="E422" s="200"/>
      <c r="F422" s="200"/>
      <c r="G422" s="200"/>
    </row>
    <row r="423" spans="1:7" x14ac:dyDescent="0.2">
      <c r="A423" s="199"/>
      <c r="B423" s="200"/>
      <c r="C423" s="200"/>
      <c r="D423" s="200"/>
      <c r="E423" s="200"/>
      <c r="F423" s="200"/>
      <c r="G423" s="200"/>
    </row>
    <row r="424" spans="1:7" x14ac:dyDescent="0.2">
      <c r="A424" s="199"/>
      <c r="B424" s="200"/>
      <c r="C424" s="200"/>
      <c r="D424" s="200"/>
      <c r="E424" s="200"/>
      <c r="F424" s="200"/>
      <c r="G424" s="200"/>
    </row>
    <row r="425" spans="1:7" x14ac:dyDescent="0.2">
      <c r="A425" s="199"/>
      <c r="B425" s="200"/>
      <c r="C425" s="200"/>
      <c r="D425" s="200"/>
      <c r="E425" s="200"/>
      <c r="F425" s="200"/>
      <c r="G425" s="200"/>
    </row>
    <row r="426" spans="1:7" x14ac:dyDescent="0.2">
      <c r="A426" s="199"/>
      <c r="B426" s="200"/>
      <c r="C426" s="200"/>
      <c r="D426" s="200"/>
      <c r="E426" s="200"/>
      <c r="F426" s="200"/>
      <c r="G426" s="200"/>
    </row>
    <row r="427" spans="1:7" x14ac:dyDescent="0.2">
      <c r="A427" s="199"/>
      <c r="B427" s="200"/>
      <c r="C427" s="200"/>
      <c r="D427" s="200"/>
      <c r="E427" s="200"/>
      <c r="F427" s="200"/>
      <c r="G427" s="200"/>
    </row>
    <row r="428" spans="1:7" x14ac:dyDescent="0.2">
      <c r="A428" s="199"/>
      <c r="B428" s="200"/>
      <c r="C428" s="200"/>
      <c r="D428" s="200"/>
      <c r="E428" s="200"/>
      <c r="F428" s="200"/>
      <c r="G428" s="200"/>
    </row>
    <row r="429" spans="1:7" x14ac:dyDescent="0.2">
      <c r="A429" s="199"/>
      <c r="B429" s="200"/>
      <c r="C429" s="200"/>
      <c r="D429" s="200"/>
      <c r="E429" s="200"/>
      <c r="F429" s="200"/>
      <c r="G429" s="200"/>
    </row>
    <row r="430" spans="1:7" x14ac:dyDescent="0.2">
      <c r="A430" s="199"/>
      <c r="B430" s="200"/>
      <c r="C430" s="200"/>
      <c r="D430" s="200"/>
      <c r="E430" s="200"/>
      <c r="F430" s="200"/>
      <c r="G430" s="200"/>
    </row>
    <row r="431" spans="1:7" x14ac:dyDescent="0.2">
      <c r="A431" s="199"/>
      <c r="B431" s="200"/>
      <c r="C431" s="200"/>
      <c r="D431" s="200"/>
      <c r="E431" s="200"/>
      <c r="F431" s="200"/>
      <c r="G431" s="200"/>
    </row>
    <row r="432" spans="1:7" x14ac:dyDescent="0.2">
      <c r="A432" s="199"/>
      <c r="B432" s="200"/>
      <c r="C432" s="200"/>
      <c r="D432" s="200"/>
      <c r="E432" s="200"/>
      <c r="F432" s="200"/>
      <c r="G432" s="200"/>
    </row>
    <row r="433" spans="1:7" x14ac:dyDescent="0.2">
      <c r="A433" s="199"/>
      <c r="B433" s="200"/>
      <c r="C433" s="200"/>
      <c r="D433" s="200"/>
      <c r="E433" s="200"/>
      <c r="F433" s="200"/>
      <c r="G433" s="200"/>
    </row>
    <row r="434" spans="1:7" x14ac:dyDescent="0.2">
      <c r="A434" s="199"/>
      <c r="B434" s="200"/>
      <c r="C434" s="200"/>
      <c r="D434" s="200"/>
      <c r="E434" s="200"/>
      <c r="F434" s="200"/>
      <c r="G434" s="200"/>
    </row>
    <row r="435" spans="1:7" x14ac:dyDescent="0.2">
      <c r="A435" s="199"/>
      <c r="B435" s="200"/>
      <c r="C435" s="200"/>
      <c r="D435" s="200"/>
      <c r="E435" s="200"/>
      <c r="F435" s="200"/>
      <c r="G435" s="200"/>
    </row>
    <row r="436" spans="1:7" x14ac:dyDescent="0.2">
      <c r="A436" s="199"/>
      <c r="B436" s="200"/>
      <c r="C436" s="200"/>
      <c r="D436" s="200"/>
      <c r="E436" s="200"/>
      <c r="F436" s="200"/>
      <c r="G436" s="200"/>
    </row>
    <row r="437" spans="1:7" x14ac:dyDescent="0.2">
      <c r="A437" s="199"/>
      <c r="B437" s="200"/>
      <c r="C437" s="200"/>
      <c r="D437" s="200"/>
      <c r="E437" s="200"/>
      <c r="F437" s="200"/>
      <c r="G437" s="200"/>
    </row>
    <row r="438" spans="1:7" x14ac:dyDescent="0.2">
      <c r="A438" s="199"/>
      <c r="B438" s="200"/>
      <c r="C438" s="200"/>
      <c r="D438" s="200"/>
      <c r="E438" s="200"/>
      <c r="F438" s="200"/>
      <c r="G438" s="200"/>
    </row>
    <row r="439" spans="1:7" x14ac:dyDescent="0.2">
      <c r="A439" s="199"/>
      <c r="B439" s="200"/>
      <c r="C439" s="200"/>
      <c r="D439" s="200"/>
      <c r="E439" s="200"/>
      <c r="F439" s="200"/>
      <c r="G439" s="200"/>
    </row>
    <row r="440" spans="1:7" x14ac:dyDescent="0.2">
      <c r="A440" s="199"/>
      <c r="B440" s="200"/>
      <c r="C440" s="200"/>
      <c r="D440" s="200"/>
      <c r="E440" s="200"/>
      <c r="F440" s="200"/>
      <c r="G440" s="200"/>
    </row>
    <row r="441" spans="1:7" x14ac:dyDescent="0.2">
      <c r="A441" s="199"/>
      <c r="B441" s="200"/>
      <c r="C441" s="200"/>
      <c r="D441" s="200"/>
      <c r="E441" s="200"/>
      <c r="F441" s="200"/>
      <c r="G441" s="200"/>
    </row>
    <row r="442" spans="1:7" x14ac:dyDescent="0.2">
      <c r="A442" s="199"/>
      <c r="B442" s="200"/>
      <c r="C442" s="200"/>
      <c r="D442" s="200"/>
      <c r="E442" s="200"/>
      <c r="F442" s="200"/>
      <c r="G442" s="200"/>
    </row>
    <row r="443" spans="1:7" x14ac:dyDescent="0.2">
      <c r="A443" s="199"/>
      <c r="B443" s="200"/>
      <c r="C443" s="200"/>
      <c r="D443" s="200"/>
      <c r="E443" s="200"/>
      <c r="F443" s="200"/>
      <c r="G443" s="200"/>
    </row>
    <row r="444" spans="1:7" x14ac:dyDescent="0.2">
      <c r="A444" s="199"/>
      <c r="B444" s="200"/>
      <c r="C444" s="200"/>
      <c r="D444" s="200"/>
      <c r="E444" s="200"/>
      <c r="F444" s="200"/>
      <c r="G444" s="200"/>
    </row>
    <row r="445" spans="1:7" x14ac:dyDescent="0.2">
      <c r="A445" s="199"/>
      <c r="B445" s="200"/>
      <c r="C445" s="200"/>
      <c r="D445" s="200"/>
      <c r="E445" s="200"/>
      <c r="F445" s="200"/>
      <c r="G445" s="200"/>
    </row>
    <row r="446" spans="1:7" x14ac:dyDescent="0.2">
      <c r="A446" s="199"/>
      <c r="B446" s="200"/>
      <c r="C446" s="200"/>
      <c r="D446" s="200"/>
      <c r="E446" s="200"/>
      <c r="F446" s="200"/>
      <c r="G446" s="200"/>
    </row>
    <row r="447" spans="1:7" x14ac:dyDescent="0.2">
      <c r="A447" s="199"/>
      <c r="B447" s="200"/>
      <c r="C447" s="200"/>
      <c r="D447" s="200"/>
      <c r="E447" s="200"/>
      <c r="F447" s="200"/>
      <c r="G447" s="200"/>
    </row>
    <row r="448" spans="1:7" x14ac:dyDescent="0.2">
      <c r="A448" s="199"/>
      <c r="B448" s="200"/>
      <c r="C448" s="200"/>
      <c r="D448" s="200"/>
      <c r="E448" s="200"/>
      <c r="F448" s="200"/>
      <c r="G448" s="200"/>
    </row>
    <row r="449" spans="1:7" x14ac:dyDescent="0.2">
      <c r="A449" s="199"/>
      <c r="B449" s="200"/>
      <c r="C449" s="200"/>
      <c r="D449" s="200"/>
      <c r="E449" s="200"/>
      <c r="F449" s="200"/>
      <c r="G449" s="200"/>
    </row>
    <row r="450" spans="1:7" x14ac:dyDescent="0.2">
      <c r="A450" s="199"/>
      <c r="B450" s="200"/>
      <c r="C450" s="200"/>
      <c r="D450" s="200"/>
      <c r="E450" s="200"/>
      <c r="F450" s="200"/>
      <c r="G450" s="200"/>
    </row>
    <row r="451" spans="1:7" x14ac:dyDescent="0.2">
      <c r="A451" s="199"/>
      <c r="B451" s="200"/>
      <c r="C451" s="200"/>
      <c r="D451" s="200"/>
      <c r="E451" s="200"/>
      <c r="F451" s="200"/>
      <c r="G451" s="200"/>
    </row>
    <row r="452" spans="1:7" x14ac:dyDescent="0.2">
      <c r="A452" s="199"/>
      <c r="B452" s="200"/>
      <c r="C452" s="200"/>
      <c r="D452" s="200"/>
      <c r="E452" s="200"/>
      <c r="F452" s="200"/>
      <c r="G452" s="200"/>
    </row>
    <row r="453" spans="1:7" x14ac:dyDescent="0.2">
      <c r="A453" s="199"/>
      <c r="B453" s="200"/>
      <c r="C453" s="200"/>
      <c r="D453" s="200"/>
      <c r="E453" s="200"/>
      <c r="F453" s="200"/>
      <c r="G453" s="200"/>
    </row>
    <row r="454" spans="1:7" x14ac:dyDescent="0.2">
      <c r="A454" s="199"/>
      <c r="B454" s="200"/>
      <c r="C454" s="200"/>
      <c r="D454" s="200"/>
      <c r="E454" s="200"/>
      <c r="F454" s="200"/>
      <c r="G454" s="200"/>
    </row>
    <row r="455" spans="1:7" x14ac:dyDescent="0.2">
      <c r="A455" s="199"/>
      <c r="B455" s="200"/>
      <c r="C455" s="200"/>
      <c r="D455" s="200"/>
      <c r="E455" s="200"/>
      <c r="F455" s="200"/>
      <c r="G455" s="200"/>
    </row>
    <row r="456" spans="1:7" x14ac:dyDescent="0.2">
      <c r="A456" s="199"/>
      <c r="B456" s="200"/>
      <c r="C456" s="200"/>
      <c r="D456" s="200"/>
      <c r="E456" s="200"/>
      <c r="F456" s="200"/>
      <c r="G456" s="200"/>
    </row>
    <row r="457" spans="1:7" x14ac:dyDescent="0.2">
      <c r="A457" s="199"/>
      <c r="B457" s="200"/>
      <c r="C457" s="200"/>
      <c r="D457" s="200"/>
      <c r="E457" s="200"/>
      <c r="F457" s="200"/>
      <c r="G457" s="200"/>
    </row>
    <row r="458" spans="1:7" x14ac:dyDescent="0.2">
      <c r="A458" s="199"/>
      <c r="B458" s="200"/>
      <c r="C458" s="200"/>
      <c r="D458" s="200"/>
      <c r="E458" s="200"/>
      <c r="F458" s="200"/>
      <c r="G458" s="200"/>
    </row>
    <row r="459" spans="1:7" x14ac:dyDescent="0.2">
      <c r="A459" s="199"/>
      <c r="B459" s="200"/>
      <c r="C459" s="200"/>
      <c r="D459" s="200"/>
      <c r="E459" s="200"/>
      <c r="F459" s="200"/>
      <c r="G459" s="200"/>
    </row>
    <row r="460" spans="1:7" x14ac:dyDescent="0.2">
      <c r="A460" s="199"/>
      <c r="B460" s="200"/>
      <c r="C460" s="200"/>
      <c r="D460" s="200"/>
      <c r="E460" s="200"/>
      <c r="F460" s="200"/>
      <c r="G460" s="200"/>
    </row>
    <row r="461" spans="1:7" x14ac:dyDescent="0.2">
      <c r="A461" s="199"/>
      <c r="B461" s="200"/>
      <c r="C461" s="200"/>
      <c r="D461" s="200"/>
      <c r="E461" s="200"/>
      <c r="F461" s="200"/>
      <c r="G461" s="200"/>
    </row>
    <row r="462" spans="1:7" x14ac:dyDescent="0.2">
      <c r="A462" s="199"/>
      <c r="B462" s="200"/>
      <c r="C462" s="200"/>
      <c r="D462" s="200"/>
      <c r="E462" s="200"/>
      <c r="F462" s="200"/>
      <c r="G462" s="200"/>
    </row>
    <row r="463" spans="1:7" x14ac:dyDescent="0.2">
      <c r="A463" s="199"/>
      <c r="B463" s="200"/>
      <c r="C463" s="200"/>
      <c r="D463" s="200"/>
      <c r="E463" s="200"/>
      <c r="F463" s="200"/>
      <c r="G463" s="200"/>
    </row>
    <row r="464" spans="1:7" x14ac:dyDescent="0.2">
      <c r="A464" s="199"/>
      <c r="B464" s="200"/>
      <c r="C464" s="200"/>
      <c r="D464" s="200"/>
      <c r="E464" s="200"/>
      <c r="F464" s="200"/>
      <c r="G464" s="200"/>
    </row>
    <row r="465" spans="1:7" x14ac:dyDescent="0.2">
      <c r="A465" s="199"/>
      <c r="B465" s="200"/>
      <c r="C465" s="200"/>
      <c r="D465" s="200"/>
      <c r="E465" s="200"/>
      <c r="F465" s="200"/>
      <c r="G465" s="200"/>
    </row>
    <row r="466" spans="1:7" x14ac:dyDescent="0.2">
      <c r="A466" s="199"/>
      <c r="B466" s="200"/>
      <c r="C466" s="200"/>
      <c r="D466" s="200"/>
      <c r="E466" s="200"/>
      <c r="F466" s="200"/>
      <c r="G466" s="200"/>
    </row>
    <row r="467" spans="1:7" x14ac:dyDescent="0.2">
      <c r="A467" s="199"/>
      <c r="B467" s="200"/>
      <c r="C467" s="200"/>
      <c r="D467" s="200"/>
      <c r="E467" s="200"/>
      <c r="F467" s="200"/>
      <c r="G467" s="200"/>
    </row>
    <row r="468" spans="1:7" x14ac:dyDescent="0.2">
      <c r="A468" s="199"/>
      <c r="B468" s="200"/>
      <c r="C468" s="200"/>
      <c r="D468" s="200"/>
      <c r="E468" s="200"/>
      <c r="F468" s="200"/>
      <c r="G468" s="200"/>
    </row>
    <row r="469" spans="1:7" x14ac:dyDescent="0.2">
      <c r="A469" s="199"/>
      <c r="B469" s="200"/>
      <c r="C469" s="200"/>
      <c r="D469" s="200"/>
      <c r="E469" s="200"/>
      <c r="F469" s="200"/>
      <c r="G469" s="200"/>
    </row>
    <row r="470" spans="1:7" x14ac:dyDescent="0.2">
      <c r="A470" s="199"/>
      <c r="B470" s="200"/>
      <c r="C470" s="200"/>
      <c r="D470" s="200"/>
      <c r="E470" s="200"/>
      <c r="F470" s="200"/>
      <c r="G470" s="200"/>
    </row>
    <row r="471" spans="1:7" x14ac:dyDescent="0.2">
      <c r="A471" s="199"/>
      <c r="B471" s="200"/>
      <c r="C471" s="200"/>
      <c r="D471" s="200"/>
      <c r="E471" s="200"/>
      <c r="F471" s="200"/>
      <c r="G471" s="200"/>
    </row>
    <row r="472" spans="1:7" x14ac:dyDescent="0.2">
      <c r="A472" s="199"/>
      <c r="B472" s="200"/>
      <c r="C472" s="200"/>
      <c r="D472" s="200"/>
      <c r="E472" s="200"/>
      <c r="F472" s="200"/>
      <c r="G472" s="200"/>
    </row>
    <row r="473" spans="1:7" x14ac:dyDescent="0.2">
      <c r="A473" s="199"/>
      <c r="B473" s="200"/>
      <c r="C473" s="200"/>
      <c r="D473" s="200"/>
      <c r="E473" s="200"/>
      <c r="F473" s="200"/>
      <c r="G473" s="200"/>
    </row>
    <row r="474" spans="1:7" x14ac:dyDescent="0.2">
      <c r="A474" s="199"/>
      <c r="B474" s="200"/>
      <c r="C474" s="200"/>
      <c r="D474" s="200"/>
      <c r="E474" s="200"/>
      <c r="F474" s="200"/>
      <c r="G474" s="200"/>
    </row>
    <row r="475" spans="1:7" x14ac:dyDescent="0.2">
      <c r="A475" s="199"/>
      <c r="B475" s="200"/>
      <c r="C475" s="200"/>
      <c r="D475" s="200"/>
      <c r="E475" s="200"/>
      <c r="F475" s="200"/>
      <c r="G475" s="200"/>
    </row>
    <row r="476" spans="1:7" x14ac:dyDescent="0.2">
      <c r="A476" s="199"/>
      <c r="B476" s="200"/>
      <c r="C476" s="200"/>
      <c r="D476" s="200"/>
      <c r="E476" s="200"/>
      <c r="F476" s="200"/>
      <c r="G476" s="200"/>
    </row>
    <row r="477" spans="1:7" x14ac:dyDescent="0.2">
      <c r="A477" s="199"/>
      <c r="B477" s="200"/>
      <c r="C477" s="200"/>
      <c r="D477" s="200"/>
      <c r="E477" s="200"/>
      <c r="F477" s="200"/>
      <c r="G477" s="200"/>
    </row>
    <row r="478" spans="1:7" x14ac:dyDescent="0.2">
      <c r="A478" s="199"/>
      <c r="B478" s="200"/>
      <c r="C478" s="200"/>
      <c r="D478" s="200"/>
      <c r="E478" s="200"/>
      <c r="F478" s="200"/>
      <c r="G478" s="200"/>
    </row>
    <row r="479" spans="1:7" x14ac:dyDescent="0.2">
      <c r="A479" s="199"/>
      <c r="B479" s="200"/>
      <c r="C479" s="200"/>
      <c r="D479" s="200"/>
      <c r="E479" s="200"/>
      <c r="F479" s="200"/>
      <c r="G479" s="200"/>
    </row>
    <row r="480" spans="1:7" x14ac:dyDescent="0.2">
      <c r="A480" s="199"/>
      <c r="B480" s="200"/>
      <c r="C480" s="200"/>
      <c r="D480" s="200"/>
      <c r="E480" s="200"/>
      <c r="F480" s="200"/>
      <c r="G480" s="200"/>
    </row>
    <row r="481" spans="1:7" x14ac:dyDescent="0.2">
      <c r="A481" s="199"/>
      <c r="B481" s="200"/>
      <c r="C481" s="200"/>
      <c r="D481" s="200"/>
      <c r="E481" s="200"/>
      <c r="F481" s="200"/>
      <c r="G481" s="200"/>
    </row>
    <row r="482" spans="1:7" x14ac:dyDescent="0.2">
      <c r="A482" s="199"/>
      <c r="B482" s="200"/>
      <c r="C482" s="200"/>
      <c r="D482" s="200"/>
      <c r="E482" s="200"/>
      <c r="F482" s="200"/>
      <c r="G482" s="200"/>
    </row>
    <row r="483" spans="1:7" x14ac:dyDescent="0.2">
      <c r="A483" s="199"/>
      <c r="B483" s="200"/>
      <c r="C483" s="200"/>
      <c r="D483" s="200"/>
      <c r="E483" s="200"/>
      <c r="F483" s="200"/>
      <c r="G483" s="200"/>
    </row>
    <row r="484" spans="1:7" x14ac:dyDescent="0.2">
      <c r="A484" s="199"/>
      <c r="B484" s="200"/>
      <c r="C484" s="200"/>
      <c r="D484" s="200"/>
      <c r="E484" s="200"/>
      <c r="F484" s="200"/>
      <c r="G484" s="200"/>
    </row>
    <row r="485" spans="1:7" x14ac:dyDescent="0.2">
      <c r="A485" s="199"/>
      <c r="B485" s="200"/>
      <c r="C485" s="200"/>
      <c r="D485" s="200"/>
      <c r="E485" s="200"/>
      <c r="F485" s="200"/>
      <c r="G485" s="200"/>
    </row>
    <row r="486" spans="1:7" x14ac:dyDescent="0.2">
      <c r="A486" s="199"/>
      <c r="B486" s="200"/>
      <c r="C486" s="200"/>
      <c r="D486" s="200"/>
      <c r="E486" s="200"/>
      <c r="F486" s="200"/>
      <c r="G486" s="200"/>
    </row>
    <row r="487" spans="1:7" x14ac:dyDescent="0.2">
      <c r="A487" s="199"/>
      <c r="B487" s="200"/>
      <c r="C487" s="200"/>
      <c r="D487" s="200"/>
      <c r="E487" s="200"/>
      <c r="F487" s="200"/>
      <c r="G487" s="200"/>
    </row>
    <row r="488" spans="1:7" x14ac:dyDescent="0.2">
      <c r="A488" s="199"/>
      <c r="B488" s="200"/>
      <c r="C488" s="200"/>
      <c r="D488" s="200"/>
      <c r="E488" s="200"/>
      <c r="F488" s="200"/>
      <c r="G488" s="200"/>
    </row>
    <row r="489" spans="1:7" x14ac:dyDescent="0.2">
      <c r="A489" s="199"/>
      <c r="B489" s="200"/>
      <c r="C489" s="200"/>
      <c r="D489" s="200"/>
      <c r="E489" s="200"/>
      <c r="F489" s="200"/>
      <c r="G489" s="200"/>
    </row>
    <row r="490" spans="1:7" x14ac:dyDescent="0.2">
      <c r="A490" s="199"/>
      <c r="B490" s="200"/>
      <c r="C490" s="200"/>
      <c r="D490" s="200"/>
      <c r="E490" s="200"/>
      <c r="F490" s="200"/>
      <c r="G490" s="200"/>
    </row>
    <row r="491" spans="1:7" x14ac:dyDescent="0.2">
      <c r="A491" s="199"/>
      <c r="B491" s="200"/>
      <c r="C491" s="200"/>
      <c r="D491" s="200"/>
      <c r="E491" s="200"/>
      <c r="F491" s="200"/>
      <c r="G491" s="200"/>
    </row>
    <row r="492" spans="1:7" x14ac:dyDescent="0.2">
      <c r="A492" s="199"/>
      <c r="B492" s="200"/>
      <c r="C492" s="200"/>
      <c r="D492" s="200"/>
      <c r="E492" s="200"/>
      <c r="F492" s="200"/>
      <c r="G492" s="200"/>
    </row>
    <row r="493" spans="1:7" x14ac:dyDescent="0.2">
      <c r="A493" s="199"/>
      <c r="B493" s="200"/>
      <c r="C493" s="200"/>
      <c r="D493" s="200"/>
      <c r="E493" s="200"/>
      <c r="F493" s="200"/>
      <c r="G493" s="200"/>
    </row>
    <row r="494" spans="1:7" x14ac:dyDescent="0.2">
      <c r="A494" s="199"/>
      <c r="B494" s="200"/>
      <c r="C494" s="200"/>
      <c r="D494" s="200"/>
      <c r="E494" s="200"/>
      <c r="F494" s="200"/>
      <c r="G494" s="200"/>
    </row>
    <row r="495" spans="1:7" x14ac:dyDescent="0.2">
      <c r="A495" s="199"/>
      <c r="B495" s="200"/>
      <c r="C495" s="200"/>
      <c r="D495" s="200"/>
      <c r="E495" s="200"/>
      <c r="F495" s="200"/>
      <c r="G495" s="200"/>
    </row>
    <row r="496" spans="1:7" x14ac:dyDescent="0.2">
      <c r="A496" s="199"/>
      <c r="B496" s="200"/>
      <c r="C496" s="200"/>
      <c r="D496" s="200"/>
      <c r="E496" s="200"/>
      <c r="F496" s="200"/>
      <c r="G496" s="200"/>
    </row>
    <row r="497" spans="1:7" x14ac:dyDescent="0.2">
      <c r="A497" s="199"/>
      <c r="B497" s="200"/>
      <c r="C497" s="200"/>
      <c r="D497" s="200"/>
      <c r="E497" s="200"/>
      <c r="F497" s="200"/>
      <c r="G497" s="200"/>
    </row>
    <row r="498" spans="1:7" x14ac:dyDescent="0.2">
      <c r="A498" s="199"/>
      <c r="B498" s="200"/>
      <c r="C498" s="200"/>
      <c r="D498" s="200"/>
      <c r="E498" s="200"/>
      <c r="F498" s="200"/>
      <c r="G498" s="200"/>
    </row>
    <row r="499" spans="1:7" x14ac:dyDescent="0.2">
      <c r="A499" s="199"/>
      <c r="B499" s="200"/>
      <c r="C499" s="200"/>
      <c r="D499" s="200"/>
      <c r="E499" s="200"/>
      <c r="F499" s="200"/>
      <c r="G499" s="200"/>
    </row>
    <row r="500" spans="1:7" x14ac:dyDescent="0.2">
      <c r="A500" s="199"/>
      <c r="B500" s="200"/>
      <c r="C500" s="200"/>
      <c r="D500" s="200"/>
      <c r="E500" s="200"/>
      <c r="F500" s="200"/>
      <c r="G500" s="200"/>
    </row>
    <row r="501" spans="1:7" x14ac:dyDescent="0.2">
      <c r="A501" s="199"/>
      <c r="B501" s="200"/>
      <c r="C501" s="200"/>
      <c r="D501" s="200"/>
      <c r="E501" s="200"/>
      <c r="F501" s="200"/>
      <c r="G501" s="200"/>
    </row>
    <row r="502" spans="1:7" x14ac:dyDescent="0.2">
      <c r="A502" s="199"/>
      <c r="B502" s="200"/>
      <c r="C502" s="200"/>
      <c r="D502" s="200"/>
      <c r="E502" s="200"/>
      <c r="F502" s="200"/>
      <c r="G502" s="200"/>
    </row>
    <row r="503" spans="1:7" x14ac:dyDescent="0.2">
      <c r="A503" s="199"/>
      <c r="B503" s="200"/>
      <c r="C503" s="200"/>
      <c r="D503" s="200"/>
      <c r="E503" s="200"/>
      <c r="F503" s="200"/>
      <c r="G503" s="200"/>
    </row>
    <row r="504" spans="1:7" x14ac:dyDescent="0.2">
      <c r="A504" s="199"/>
      <c r="B504" s="200"/>
      <c r="C504" s="200"/>
      <c r="D504" s="200"/>
      <c r="E504" s="200"/>
      <c r="F504" s="200"/>
      <c r="G504" s="200"/>
    </row>
    <row r="505" spans="1:7" x14ac:dyDescent="0.2">
      <c r="A505" s="199"/>
      <c r="B505" s="200"/>
      <c r="C505" s="200"/>
      <c r="D505" s="200"/>
      <c r="E505" s="200"/>
      <c r="F505" s="200"/>
      <c r="G505" s="200"/>
    </row>
    <row r="506" spans="1:7" x14ac:dyDescent="0.2">
      <c r="A506" s="199"/>
      <c r="B506" s="200"/>
      <c r="C506" s="200"/>
      <c r="D506" s="200"/>
      <c r="E506" s="200"/>
      <c r="F506" s="200"/>
      <c r="G506" s="200"/>
    </row>
    <row r="507" spans="1:7" x14ac:dyDescent="0.2">
      <c r="A507" s="199"/>
      <c r="B507" s="200"/>
      <c r="C507" s="200"/>
      <c r="D507" s="200"/>
      <c r="E507" s="200"/>
      <c r="F507" s="200"/>
      <c r="G507" s="200"/>
    </row>
    <row r="508" spans="1:7" x14ac:dyDescent="0.2">
      <c r="A508" s="199"/>
      <c r="B508" s="200"/>
      <c r="C508" s="200"/>
      <c r="D508" s="200"/>
      <c r="E508" s="200"/>
      <c r="F508" s="200"/>
      <c r="G508" s="200"/>
    </row>
    <row r="509" spans="1:7" x14ac:dyDescent="0.2">
      <c r="A509" s="199"/>
      <c r="B509" s="200"/>
      <c r="C509" s="200"/>
      <c r="D509" s="200"/>
      <c r="E509" s="200"/>
      <c r="F509" s="200"/>
      <c r="G509" s="200"/>
    </row>
    <row r="510" spans="1:7" x14ac:dyDescent="0.2">
      <c r="A510" s="199"/>
      <c r="B510" s="200"/>
      <c r="C510" s="200"/>
      <c r="D510" s="200"/>
      <c r="E510" s="200"/>
      <c r="F510" s="200"/>
      <c r="G510" s="200"/>
    </row>
    <row r="511" spans="1:7" x14ac:dyDescent="0.2">
      <c r="A511" s="199"/>
      <c r="B511" s="200"/>
      <c r="C511" s="200"/>
      <c r="D511" s="200"/>
      <c r="E511" s="200"/>
      <c r="F511" s="200"/>
      <c r="G511" s="200"/>
    </row>
    <row r="512" spans="1:7" x14ac:dyDescent="0.2">
      <c r="A512" s="199"/>
      <c r="B512" s="200"/>
      <c r="C512" s="200"/>
      <c r="D512" s="200"/>
      <c r="E512" s="200"/>
      <c r="F512" s="200"/>
      <c r="G512" s="200"/>
    </row>
    <row r="513" spans="1:7" x14ac:dyDescent="0.2">
      <c r="A513" s="199"/>
      <c r="B513" s="200"/>
      <c r="C513" s="200"/>
      <c r="D513" s="200"/>
      <c r="E513" s="200"/>
      <c r="F513" s="200"/>
      <c r="G513" s="200"/>
    </row>
    <row r="514" spans="1:7" x14ac:dyDescent="0.2">
      <c r="A514" s="199"/>
      <c r="B514" s="200"/>
      <c r="C514" s="200"/>
      <c r="D514" s="200"/>
      <c r="E514" s="200"/>
      <c r="F514" s="200"/>
      <c r="G514" s="200"/>
    </row>
    <row r="515" spans="1:7" x14ac:dyDescent="0.2">
      <c r="A515" s="199"/>
      <c r="B515" s="200"/>
      <c r="C515" s="200"/>
      <c r="D515" s="200"/>
      <c r="E515" s="200"/>
      <c r="F515" s="200"/>
      <c r="G515" s="200"/>
    </row>
    <row r="516" spans="1:7" x14ac:dyDescent="0.2">
      <c r="A516" s="199"/>
      <c r="B516" s="200"/>
      <c r="C516" s="200"/>
      <c r="D516" s="200"/>
      <c r="E516" s="200"/>
      <c r="F516" s="200"/>
      <c r="G516" s="200"/>
    </row>
    <row r="517" spans="1:7" x14ac:dyDescent="0.2">
      <c r="A517" s="199"/>
      <c r="B517" s="200"/>
      <c r="C517" s="200"/>
      <c r="D517" s="200"/>
      <c r="E517" s="200"/>
      <c r="F517" s="200"/>
      <c r="G517" s="200"/>
    </row>
    <row r="518" spans="1:7" x14ac:dyDescent="0.2">
      <c r="A518" s="199"/>
      <c r="B518" s="200"/>
      <c r="C518" s="200"/>
      <c r="D518" s="200"/>
      <c r="E518" s="200"/>
      <c r="F518" s="200"/>
      <c r="G518" s="200"/>
    </row>
    <row r="519" spans="1:7" x14ac:dyDescent="0.2">
      <c r="A519" s="199"/>
      <c r="B519" s="200"/>
      <c r="C519" s="200"/>
      <c r="D519" s="200"/>
      <c r="E519" s="200"/>
      <c r="F519" s="200"/>
      <c r="G519" s="200"/>
    </row>
    <row r="520" spans="1:7" x14ac:dyDescent="0.2">
      <c r="A520" s="199"/>
      <c r="B520" s="200"/>
      <c r="C520" s="200"/>
      <c r="D520" s="200"/>
      <c r="E520" s="200"/>
      <c r="F520" s="200"/>
      <c r="G520" s="200"/>
    </row>
    <row r="521" spans="1:7" x14ac:dyDescent="0.2">
      <c r="A521" s="199"/>
      <c r="B521" s="200"/>
      <c r="C521" s="200"/>
      <c r="D521" s="200"/>
      <c r="E521" s="200"/>
      <c r="F521" s="200"/>
      <c r="G521" s="200"/>
    </row>
    <row r="522" spans="1:7" x14ac:dyDescent="0.2">
      <c r="A522" s="199"/>
      <c r="B522" s="200"/>
      <c r="C522" s="200"/>
      <c r="D522" s="200"/>
      <c r="E522" s="200"/>
      <c r="F522" s="200"/>
      <c r="G522" s="200"/>
    </row>
    <row r="523" spans="1:7" x14ac:dyDescent="0.2">
      <c r="A523" s="199"/>
      <c r="B523" s="200"/>
      <c r="C523" s="200"/>
      <c r="D523" s="200"/>
      <c r="E523" s="200"/>
      <c r="F523" s="200"/>
      <c r="G523" s="200"/>
    </row>
    <row r="524" spans="1:7" x14ac:dyDescent="0.2">
      <c r="A524" s="199"/>
      <c r="B524" s="200"/>
      <c r="C524" s="200"/>
      <c r="D524" s="200"/>
      <c r="E524" s="200"/>
      <c r="F524" s="200"/>
      <c r="G524" s="200"/>
    </row>
    <row r="525" spans="1:7" x14ac:dyDescent="0.2">
      <c r="A525" s="199"/>
      <c r="B525" s="200"/>
      <c r="C525" s="200"/>
      <c r="D525" s="200"/>
      <c r="E525" s="200"/>
      <c r="F525" s="200"/>
      <c r="G525" s="200"/>
    </row>
    <row r="526" spans="1:7" x14ac:dyDescent="0.2">
      <c r="A526" s="199"/>
      <c r="B526" s="200"/>
      <c r="C526" s="200"/>
      <c r="D526" s="200"/>
      <c r="E526" s="200"/>
      <c r="F526" s="200"/>
      <c r="G526" s="200"/>
    </row>
    <row r="527" spans="1:7" x14ac:dyDescent="0.2">
      <c r="A527" s="199"/>
      <c r="B527" s="200"/>
      <c r="C527" s="200"/>
      <c r="D527" s="200"/>
      <c r="E527" s="200"/>
      <c r="F527" s="200"/>
      <c r="G527" s="200"/>
    </row>
    <row r="528" spans="1:7" x14ac:dyDescent="0.2">
      <c r="A528" s="199"/>
      <c r="B528" s="200"/>
      <c r="C528" s="200"/>
      <c r="D528" s="200"/>
      <c r="E528" s="200"/>
      <c r="F528" s="200"/>
      <c r="G528" s="200"/>
    </row>
    <row r="529" spans="1:7" x14ac:dyDescent="0.2">
      <c r="A529" s="199"/>
      <c r="B529" s="200"/>
      <c r="C529" s="200"/>
      <c r="D529" s="200"/>
      <c r="E529" s="200"/>
      <c r="F529" s="200"/>
      <c r="G529" s="200"/>
    </row>
    <row r="530" spans="1:7" x14ac:dyDescent="0.2">
      <c r="A530" s="199"/>
      <c r="B530" s="200"/>
      <c r="C530" s="200"/>
      <c r="D530" s="200"/>
      <c r="E530" s="200"/>
      <c r="F530" s="200"/>
      <c r="G530" s="200"/>
    </row>
    <row r="531" spans="1:7" x14ac:dyDescent="0.2">
      <c r="A531" s="199"/>
      <c r="B531" s="200"/>
      <c r="C531" s="200"/>
      <c r="D531" s="200"/>
      <c r="E531" s="200"/>
      <c r="F531" s="200"/>
      <c r="G531" s="200"/>
    </row>
    <row r="532" spans="1:7" x14ac:dyDescent="0.2">
      <c r="A532" s="199"/>
      <c r="B532" s="200"/>
      <c r="C532" s="200"/>
      <c r="D532" s="200"/>
      <c r="E532" s="200"/>
      <c r="F532" s="200"/>
      <c r="G532" s="200"/>
    </row>
    <row r="533" spans="1:7" x14ac:dyDescent="0.2">
      <c r="A533" s="199"/>
      <c r="B533" s="200"/>
      <c r="C533" s="200"/>
      <c r="D533" s="200"/>
      <c r="E533" s="200"/>
      <c r="F533" s="200"/>
      <c r="G533" s="200"/>
    </row>
    <row r="534" spans="1:7" x14ac:dyDescent="0.2">
      <c r="A534" s="199"/>
      <c r="B534" s="200"/>
      <c r="C534" s="200"/>
      <c r="D534" s="200"/>
      <c r="E534" s="200"/>
      <c r="F534" s="200"/>
      <c r="G534" s="200"/>
    </row>
    <row r="535" spans="1:7" x14ac:dyDescent="0.2">
      <c r="A535" s="199"/>
      <c r="B535" s="200"/>
      <c r="C535" s="200"/>
      <c r="D535" s="200"/>
      <c r="E535" s="200"/>
      <c r="F535" s="200"/>
      <c r="G535" s="200"/>
    </row>
    <row r="536" spans="1:7" x14ac:dyDescent="0.2">
      <c r="A536" s="199"/>
      <c r="B536" s="200"/>
      <c r="C536" s="200"/>
      <c r="D536" s="200"/>
      <c r="E536" s="200"/>
      <c r="F536" s="200"/>
      <c r="G536" s="200"/>
    </row>
    <row r="537" spans="1:7" x14ac:dyDescent="0.2">
      <c r="A537" s="199"/>
      <c r="B537" s="200"/>
      <c r="C537" s="200"/>
      <c r="D537" s="200"/>
      <c r="E537" s="200"/>
      <c r="F537" s="200"/>
      <c r="G537" s="200"/>
    </row>
    <row r="538" spans="1:7" x14ac:dyDescent="0.2">
      <c r="A538" s="199"/>
      <c r="B538" s="200"/>
      <c r="C538" s="200"/>
      <c r="D538" s="200"/>
      <c r="E538" s="200"/>
      <c r="F538" s="200"/>
      <c r="G538" s="200"/>
    </row>
    <row r="539" spans="1:7" x14ac:dyDescent="0.2">
      <c r="A539" s="199"/>
      <c r="B539" s="200"/>
      <c r="C539" s="200"/>
      <c r="D539" s="200"/>
      <c r="E539" s="200"/>
      <c r="F539" s="200"/>
      <c r="G539" s="200"/>
    </row>
    <row r="540" spans="1:7" x14ac:dyDescent="0.2">
      <c r="A540" s="199"/>
      <c r="B540" s="200"/>
      <c r="C540" s="200"/>
      <c r="D540" s="200"/>
      <c r="E540" s="200"/>
      <c r="F540" s="200"/>
      <c r="G540" s="200"/>
    </row>
    <row r="541" spans="1:7" x14ac:dyDescent="0.2">
      <c r="A541" s="199"/>
      <c r="B541" s="200"/>
      <c r="C541" s="200"/>
      <c r="D541" s="200"/>
      <c r="E541" s="200"/>
      <c r="F541" s="200"/>
      <c r="G541" s="200"/>
    </row>
    <row r="542" spans="1:7" x14ac:dyDescent="0.2">
      <c r="A542" s="199"/>
      <c r="B542" s="200"/>
      <c r="C542" s="200"/>
      <c r="D542" s="200"/>
      <c r="E542" s="200"/>
      <c r="F542" s="200"/>
      <c r="G542" s="200"/>
    </row>
    <row r="543" spans="1:7" x14ac:dyDescent="0.2">
      <c r="A543" s="199"/>
      <c r="B543" s="200"/>
      <c r="C543" s="200"/>
      <c r="D543" s="200"/>
      <c r="E543" s="200"/>
      <c r="F543" s="200"/>
      <c r="G543" s="200"/>
    </row>
    <row r="544" spans="1:7" x14ac:dyDescent="0.2">
      <c r="A544" s="199"/>
      <c r="B544" s="200"/>
      <c r="C544" s="200"/>
      <c r="D544" s="200"/>
      <c r="E544" s="200"/>
      <c r="F544" s="200"/>
      <c r="G544" s="200"/>
    </row>
    <row r="545" spans="1:7" x14ac:dyDescent="0.2">
      <c r="A545" s="199"/>
      <c r="B545" s="200"/>
      <c r="C545" s="200"/>
      <c r="D545" s="200"/>
      <c r="E545" s="200"/>
      <c r="F545" s="200"/>
      <c r="G545" s="200"/>
    </row>
    <row r="546" spans="1:7" x14ac:dyDescent="0.2">
      <c r="A546" s="199"/>
      <c r="B546" s="200"/>
      <c r="C546" s="200"/>
      <c r="D546" s="200"/>
      <c r="E546" s="200"/>
      <c r="F546" s="200"/>
      <c r="G546" s="200"/>
    </row>
    <row r="547" spans="1:7" x14ac:dyDescent="0.2">
      <c r="A547" s="199"/>
      <c r="B547" s="200"/>
      <c r="C547" s="200"/>
      <c r="D547" s="200"/>
      <c r="E547" s="200"/>
      <c r="F547" s="200"/>
      <c r="G547" s="200"/>
    </row>
    <row r="548" spans="1:7" x14ac:dyDescent="0.2">
      <c r="A548" s="199"/>
      <c r="B548" s="200"/>
      <c r="C548" s="200"/>
      <c r="D548" s="200"/>
      <c r="E548" s="200"/>
      <c r="F548" s="200"/>
      <c r="G548" s="200"/>
    </row>
    <row r="549" spans="1:7" x14ac:dyDescent="0.2">
      <c r="A549" s="199"/>
      <c r="B549" s="200"/>
      <c r="C549" s="200"/>
      <c r="D549" s="200"/>
      <c r="E549" s="200"/>
      <c r="F549" s="200"/>
      <c r="G549" s="200"/>
    </row>
    <row r="550" spans="1:7" x14ac:dyDescent="0.2">
      <c r="A550" s="199"/>
      <c r="B550" s="200"/>
      <c r="C550" s="200"/>
      <c r="D550" s="200"/>
      <c r="E550" s="200"/>
      <c r="F550" s="200"/>
      <c r="G550" s="200"/>
    </row>
    <row r="551" spans="1:7" x14ac:dyDescent="0.2">
      <c r="A551" s="199"/>
      <c r="B551" s="200"/>
      <c r="C551" s="200"/>
      <c r="D551" s="200"/>
      <c r="E551" s="200"/>
      <c r="F551" s="200"/>
      <c r="G551" s="200"/>
    </row>
    <row r="552" spans="1:7" x14ac:dyDescent="0.2">
      <c r="A552" s="199"/>
      <c r="B552" s="200"/>
      <c r="C552" s="200"/>
      <c r="D552" s="200"/>
      <c r="E552" s="200"/>
      <c r="F552" s="200"/>
      <c r="G552" s="200"/>
    </row>
    <row r="553" spans="1:7" x14ac:dyDescent="0.2">
      <c r="A553" s="199"/>
      <c r="B553" s="200"/>
      <c r="C553" s="200"/>
      <c r="D553" s="200"/>
      <c r="E553" s="200"/>
      <c r="F553" s="200"/>
      <c r="G553" s="200"/>
    </row>
    <row r="554" spans="1:7" x14ac:dyDescent="0.2">
      <c r="A554" s="199"/>
      <c r="B554" s="200"/>
      <c r="C554" s="200"/>
      <c r="D554" s="200"/>
      <c r="E554" s="200"/>
      <c r="F554" s="200"/>
      <c r="G554" s="200"/>
    </row>
    <row r="555" spans="1:7" x14ac:dyDescent="0.2">
      <c r="A555" s="199"/>
      <c r="B555" s="200"/>
      <c r="C555" s="200"/>
      <c r="D555" s="200"/>
      <c r="E555" s="200"/>
      <c r="F555" s="200"/>
      <c r="G555" s="200"/>
    </row>
    <row r="556" spans="1:7" x14ac:dyDescent="0.2">
      <c r="A556" s="199"/>
      <c r="B556" s="200"/>
      <c r="C556" s="200"/>
      <c r="D556" s="200"/>
      <c r="E556" s="200"/>
      <c r="F556" s="200"/>
      <c r="G556" s="200"/>
    </row>
    <row r="557" spans="1:7" x14ac:dyDescent="0.2">
      <c r="A557" s="199"/>
      <c r="B557" s="200"/>
      <c r="C557" s="200"/>
      <c r="D557" s="200"/>
      <c r="E557" s="200"/>
      <c r="F557" s="200"/>
      <c r="G557" s="200"/>
    </row>
    <row r="558" spans="1:7" x14ac:dyDescent="0.2">
      <c r="A558" s="199"/>
      <c r="B558" s="200"/>
      <c r="C558" s="200"/>
      <c r="D558" s="200"/>
      <c r="E558" s="200"/>
      <c r="F558" s="200"/>
      <c r="G558" s="200"/>
    </row>
    <row r="559" spans="1:7" x14ac:dyDescent="0.2">
      <c r="A559" s="199"/>
      <c r="B559" s="200"/>
      <c r="C559" s="200"/>
      <c r="D559" s="200"/>
      <c r="E559" s="200"/>
      <c r="F559" s="200"/>
      <c r="G559" s="200"/>
    </row>
    <row r="560" spans="1:7" x14ac:dyDescent="0.2">
      <c r="A560" s="199"/>
      <c r="B560" s="200"/>
      <c r="C560" s="200"/>
      <c r="D560" s="200"/>
      <c r="E560" s="200"/>
      <c r="F560" s="200"/>
      <c r="G560" s="200"/>
    </row>
    <row r="561" spans="1:7" x14ac:dyDescent="0.2">
      <c r="A561" s="199"/>
      <c r="B561" s="200"/>
      <c r="C561" s="200"/>
      <c r="D561" s="200"/>
      <c r="E561" s="200"/>
      <c r="F561" s="200"/>
      <c r="G561" s="200"/>
    </row>
    <row r="562" spans="1:7" x14ac:dyDescent="0.2">
      <c r="A562" s="199"/>
      <c r="B562" s="200"/>
      <c r="C562" s="200"/>
      <c r="D562" s="200"/>
      <c r="E562" s="200"/>
      <c r="F562" s="200"/>
      <c r="G562" s="200"/>
    </row>
    <row r="563" spans="1:7" x14ac:dyDescent="0.2">
      <c r="A563" s="199"/>
      <c r="B563" s="200"/>
      <c r="C563" s="200"/>
      <c r="D563" s="200"/>
      <c r="E563" s="200"/>
      <c r="F563" s="200"/>
      <c r="G563" s="200"/>
    </row>
    <row r="564" spans="1:7" x14ac:dyDescent="0.2">
      <c r="A564" s="199"/>
      <c r="B564" s="200"/>
      <c r="C564" s="200"/>
      <c r="D564" s="200"/>
      <c r="E564" s="200"/>
      <c r="F564" s="200"/>
      <c r="G564" s="200"/>
    </row>
    <row r="565" spans="1:7" x14ac:dyDescent="0.2">
      <c r="A565" s="199"/>
      <c r="B565" s="200"/>
      <c r="C565" s="200"/>
      <c r="D565" s="200"/>
      <c r="E565" s="200"/>
      <c r="F565" s="200"/>
      <c r="G565" s="200"/>
    </row>
    <row r="566" spans="1:7" x14ac:dyDescent="0.2">
      <c r="A566" s="199"/>
      <c r="B566" s="200"/>
      <c r="C566" s="200"/>
      <c r="D566" s="200"/>
      <c r="E566" s="200"/>
      <c r="F566" s="200"/>
      <c r="G566" s="200"/>
    </row>
    <row r="567" spans="1:7" x14ac:dyDescent="0.2">
      <c r="A567" s="199"/>
      <c r="B567" s="200"/>
      <c r="C567" s="200"/>
      <c r="D567" s="200"/>
      <c r="E567" s="200"/>
      <c r="F567" s="200"/>
      <c r="G567" s="200"/>
    </row>
    <row r="568" spans="1:7" x14ac:dyDescent="0.2">
      <c r="A568" s="199"/>
      <c r="B568" s="200"/>
      <c r="C568" s="200"/>
      <c r="D568" s="200"/>
      <c r="E568" s="200"/>
      <c r="F568" s="200"/>
      <c r="G568" s="200"/>
    </row>
    <row r="569" spans="1:7" x14ac:dyDescent="0.2">
      <c r="A569" s="199"/>
      <c r="B569" s="200"/>
      <c r="C569" s="200"/>
      <c r="D569" s="200"/>
      <c r="E569" s="200"/>
      <c r="F569" s="200"/>
      <c r="G569" s="200"/>
    </row>
    <row r="570" spans="1:7" x14ac:dyDescent="0.2">
      <c r="A570" s="199"/>
      <c r="B570" s="200"/>
      <c r="C570" s="200"/>
      <c r="D570" s="200"/>
      <c r="E570" s="200"/>
      <c r="F570" s="200"/>
      <c r="G570" s="200"/>
    </row>
    <row r="571" spans="1:7" x14ac:dyDescent="0.2">
      <c r="A571" s="199"/>
      <c r="B571" s="200"/>
      <c r="C571" s="200"/>
      <c r="D571" s="200"/>
      <c r="E571" s="200"/>
      <c r="F571" s="200"/>
      <c r="G571" s="200"/>
    </row>
    <row r="572" spans="1:7" x14ac:dyDescent="0.2">
      <c r="A572" s="199"/>
      <c r="B572" s="200"/>
      <c r="C572" s="200"/>
      <c r="D572" s="200"/>
      <c r="E572" s="200"/>
      <c r="F572" s="200"/>
      <c r="G572" s="200"/>
    </row>
    <row r="573" spans="1:7" x14ac:dyDescent="0.2">
      <c r="A573" s="199"/>
      <c r="B573" s="200"/>
      <c r="C573" s="200"/>
      <c r="D573" s="200"/>
      <c r="E573" s="200"/>
      <c r="F573" s="200"/>
      <c r="G573" s="200"/>
    </row>
    <row r="574" spans="1:7" x14ac:dyDescent="0.2">
      <c r="A574" s="199"/>
      <c r="B574" s="200"/>
      <c r="C574" s="200"/>
      <c r="D574" s="200"/>
      <c r="E574" s="200"/>
      <c r="F574" s="200"/>
      <c r="G574" s="200"/>
    </row>
    <row r="575" spans="1:7" x14ac:dyDescent="0.2">
      <c r="A575" s="199"/>
      <c r="B575" s="200"/>
      <c r="C575" s="200"/>
      <c r="D575" s="200"/>
      <c r="E575" s="200"/>
      <c r="F575" s="200"/>
      <c r="G575" s="200"/>
    </row>
    <row r="576" spans="1:7" x14ac:dyDescent="0.2">
      <c r="A576" s="199"/>
      <c r="B576" s="200"/>
      <c r="C576" s="200"/>
      <c r="D576" s="200"/>
      <c r="E576" s="200"/>
      <c r="F576" s="200"/>
      <c r="G576" s="200"/>
    </row>
    <row r="577" spans="1:7" x14ac:dyDescent="0.2">
      <c r="A577" s="199"/>
      <c r="B577" s="200"/>
      <c r="C577" s="200"/>
      <c r="D577" s="200"/>
      <c r="E577" s="200"/>
      <c r="F577" s="200"/>
      <c r="G577" s="200"/>
    </row>
    <row r="578" spans="1:7" x14ac:dyDescent="0.2">
      <c r="A578" s="199"/>
      <c r="B578" s="200"/>
      <c r="C578" s="200"/>
      <c r="D578" s="200"/>
      <c r="E578" s="200"/>
      <c r="F578" s="200"/>
      <c r="G578" s="200"/>
    </row>
    <row r="579" spans="1:7" x14ac:dyDescent="0.2">
      <c r="A579" s="199"/>
      <c r="B579" s="200"/>
      <c r="C579" s="200"/>
      <c r="D579" s="200"/>
      <c r="E579" s="200"/>
      <c r="F579" s="200"/>
      <c r="G579" s="200"/>
    </row>
    <row r="580" spans="1:7" x14ac:dyDescent="0.2">
      <c r="A580" s="199"/>
      <c r="B580" s="200"/>
      <c r="C580" s="200"/>
      <c r="D580" s="200"/>
      <c r="E580" s="200"/>
      <c r="F580" s="200"/>
      <c r="G580" s="200"/>
    </row>
    <row r="581" spans="1:7" x14ac:dyDescent="0.2">
      <c r="A581" s="199"/>
      <c r="B581" s="200"/>
      <c r="C581" s="200"/>
      <c r="D581" s="200"/>
      <c r="E581" s="200"/>
      <c r="F581" s="200"/>
      <c r="G581" s="200"/>
    </row>
    <row r="582" spans="1:7" x14ac:dyDescent="0.2">
      <c r="A582" s="199"/>
      <c r="B582" s="200"/>
      <c r="C582" s="200"/>
      <c r="D582" s="200"/>
      <c r="E582" s="200"/>
      <c r="F582" s="200"/>
      <c r="G582" s="200"/>
    </row>
    <row r="583" spans="1:7" x14ac:dyDescent="0.2">
      <c r="A583" s="199"/>
      <c r="B583" s="200"/>
      <c r="C583" s="200"/>
      <c r="D583" s="200"/>
      <c r="E583" s="200"/>
      <c r="F583" s="200"/>
      <c r="G583" s="200"/>
    </row>
    <row r="584" spans="1:7" x14ac:dyDescent="0.2">
      <c r="A584" s="199"/>
      <c r="B584" s="200"/>
      <c r="C584" s="200"/>
      <c r="D584" s="200"/>
      <c r="E584" s="200"/>
      <c r="F584" s="200"/>
      <c r="G584" s="200"/>
    </row>
    <row r="585" spans="1:7" x14ac:dyDescent="0.2">
      <c r="A585" s="199"/>
      <c r="B585" s="200"/>
      <c r="C585" s="200"/>
      <c r="D585" s="200"/>
      <c r="E585" s="200"/>
      <c r="F585" s="200"/>
      <c r="G585" s="200"/>
    </row>
    <row r="586" spans="1:7" x14ac:dyDescent="0.2">
      <c r="A586" s="199"/>
      <c r="B586" s="200"/>
      <c r="C586" s="200"/>
      <c r="D586" s="200"/>
      <c r="E586" s="200"/>
      <c r="F586" s="200"/>
      <c r="G586" s="200"/>
    </row>
    <row r="587" spans="1:7" x14ac:dyDescent="0.2">
      <c r="A587" s="199"/>
      <c r="B587" s="200"/>
      <c r="C587" s="200"/>
      <c r="D587" s="200"/>
      <c r="E587" s="200"/>
      <c r="F587" s="200"/>
      <c r="G587" s="200"/>
    </row>
    <row r="588" spans="1:7" x14ac:dyDescent="0.2">
      <c r="A588" s="199"/>
      <c r="B588" s="200"/>
      <c r="C588" s="200"/>
      <c r="D588" s="200"/>
      <c r="E588" s="200"/>
      <c r="F588" s="200"/>
      <c r="G588" s="200"/>
    </row>
    <row r="589" spans="1:7" x14ac:dyDescent="0.2">
      <c r="A589" s="199"/>
      <c r="B589" s="200"/>
      <c r="C589" s="200"/>
      <c r="D589" s="200"/>
      <c r="E589" s="200"/>
      <c r="F589" s="200"/>
      <c r="G589" s="200"/>
    </row>
    <row r="590" spans="1:7" x14ac:dyDescent="0.2">
      <c r="A590" s="199"/>
      <c r="B590" s="200"/>
      <c r="C590" s="200"/>
      <c r="D590" s="200"/>
      <c r="E590" s="200"/>
      <c r="F590" s="200"/>
      <c r="G590" s="200"/>
    </row>
    <row r="591" spans="1:7" x14ac:dyDescent="0.2">
      <c r="A591" s="199"/>
      <c r="B591" s="200"/>
      <c r="C591" s="200"/>
      <c r="D591" s="200"/>
      <c r="E591" s="200"/>
      <c r="F591" s="200"/>
      <c r="G591" s="200"/>
    </row>
    <row r="592" spans="1:7" x14ac:dyDescent="0.2">
      <c r="A592" s="199"/>
      <c r="B592" s="200"/>
      <c r="C592" s="200"/>
      <c r="D592" s="200"/>
      <c r="E592" s="200"/>
      <c r="F592" s="200"/>
      <c r="G592" s="200"/>
    </row>
    <row r="593" spans="1:7" x14ac:dyDescent="0.2">
      <c r="A593" s="199"/>
      <c r="B593" s="200"/>
      <c r="C593" s="200"/>
      <c r="D593" s="200"/>
      <c r="E593" s="200"/>
      <c r="F593" s="200"/>
      <c r="G593" s="200"/>
    </row>
    <row r="594" spans="1:7" x14ac:dyDescent="0.2">
      <c r="A594" s="199"/>
      <c r="B594" s="200"/>
      <c r="C594" s="200"/>
      <c r="D594" s="200"/>
      <c r="E594" s="200"/>
      <c r="F594" s="200"/>
      <c r="G594" s="200"/>
    </row>
    <row r="595" spans="1:7" x14ac:dyDescent="0.2">
      <c r="A595" s="199"/>
      <c r="B595" s="200"/>
      <c r="C595" s="200"/>
      <c r="D595" s="200"/>
      <c r="E595" s="200"/>
      <c r="F595" s="200"/>
      <c r="G595" s="200"/>
    </row>
    <row r="596" spans="1:7" x14ac:dyDescent="0.2">
      <c r="A596" s="199"/>
      <c r="B596" s="200"/>
      <c r="C596" s="200"/>
      <c r="D596" s="200"/>
      <c r="E596" s="200"/>
      <c r="F596" s="200"/>
      <c r="G596" s="200"/>
    </row>
    <row r="597" spans="1:7" x14ac:dyDescent="0.2">
      <c r="A597" s="199"/>
      <c r="B597" s="200"/>
      <c r="C597" s="200"/>
      <c r="D597" s="200"/>
      <c r="E597" s="200"/>
      <c r="F597" s="200"/>
      <c r="G597" s="200"/>
    </row>
    <row r="598" spans="1:7" x14ac:dyDescent="0.2">
      <c r="A598" s="199"/>
      <c r="B598" s="200"/>
      <c r="C598" s="200"/>
      <c r="D598" s="200"/>
      <c r="E598" s="200"/>
      <c r="F598" s="200"/>
      <c r="G598" s="200"/>
    </row>
    <row r="599" spans="1:7" x14ac:dyDescent="0.2">
      <c r="A599" s="199"/>
      <c r="B599" s="200"/>
      <c r="C599" s="200"/>
      <c r="D599" s="200"/>
      <c r="E599" s="200"/>
      <c r="F599" s="200"/>
      <c r="G599" s="200"/>
    </row>
    <row r="600" spans="1:7" x14ac:dyDescent="0.2">
      <c r="A600" s="199"/>
      <c r="B600" s="200"/>
      <c r="C600" s="200"/>
      <c r="D600" s="200"/>
      <c r="E600" s="200"/>
      <c r="F600" s="200"/>
      <c r="G600" s="200"/>
    </row>
    <row r="601" spans="1:7" x14ac:dyDescent="0.2">
      <c r="A601" s="199"/>
      <c r="B601" s="200"/>
      <c r="C601" s="200"/>
      <c r="D601" s="200"/>
      <c r="E601" s="200"/>
      <c r="F601" s="200"/>
      <c r="G601" s="200"/>
    </row>
    <row r="602" spans="1:7" x14ac:dyDescent="0.2">
      <c r="A602" s="199"/>
      <c r="B602" s="200"/>
      <c r="C602" s="200"/>
      <c r="D602" s="200"/>
      <c r="E602" s="200"/>
      <c r="F602" s="200"/>
      <c r="G602" s="200"/>
    </row>
    <row r="603" spans="1:7" x14ac:dyDescent="0.2">
      <c r="A603" s="199"/>
      <c r="B603" s="200"/>
      <c r="C603" s="200"/>
      <c r="D603" s="200"/>
      <c r="E603" s="200"/>
      <c r="F603" s="200"/>
      <c r="G603" s="200"/>
    </row>
    <row r="604" spans="1:7" x14ac:dyDescent="0.2">
      <c r="A604" s="199"/>
      <c r="B604" s="200"/>
      <c r="C604" s="200"/>
      <c r="D604" s="200"/>
      <c r="E604" s="200"/>
      <c r="F604" s="200"/>
      <c r="G604" s="200"/>
    </row>
    <row r="605" spans="1:7" x14ac:dyDescent="0.2">
      <c r="A605" s="199"/>
      <c r="B605" s="200"/>
      <c r="C605" s="200"/>
      <c r="D605" s="200"/>
      <c r="E605" s="200"/>
      <c r="F605" s="200"/>
      <c r="G605" s="200"/>
    </row>
    <row r="606" spans="1:7" x14ac:dyDescent="0.2">
      <c r="A606" s="199"/>
      <c r="B606" s="200"/>
      <c r="C606" s="200"/>
      <c r="D606" s="200"/>
      <c r="E606" s="200"/>
      <c r="F606" s="200"/>
      <c r="G606" s="200"/>
    </row>
    <row r="607" spans="1:7" x14ac:dyDescent="0.2">
      <c r="A607" s="199"/>
      <c r="B607" s="200"/>
      <c r="C607" s="200"/>
      <c r="D607" s="200"/>
      <c r="E607" s="200"/>
      <c r="F607" s="200"/>
      <c r="G607" s="200"/>
    </row>
    <row r="608" spans="1:7" x14ac:dyDescent="0.2">
      <c r="A608" s="199"/>
      <c r="B608" s="200"/>
      <c r="C608" s="200"/>
      <c r="D608" s="200"/>
      <c r="E608" s="200"/>
      <c r="F608" s="200"/>
      <c r="G608" s="200"/>
    </row>
    <row r="609" spans="1:7" x14ac:dyDescent="0.2">
      <c r="A609" s="199"/>
      <c r="B609" s="200"/>
      <c r="C609" s="200"/>
      <c r="D609" s="200"/>
      <c r="E609" s="200"/>
      <c r="F609" s="200"/>
      <c r="G609" s="200"/>
    </row>
    <row r="610" spans="1:7" x14ac:dyDescent="0.2">
      <c r="A610" s="199"/>
      <c r="B610" s="200"/>
      <c r="C610" s="200"/>
      <c r="D610" s="200"/>
      <c r="E610" s="200"/>
      <c r="F610" s="200"/>
      <c r="G610" s="200"/>
    </row>
    <row r="611" spans="1:7" x14ac:dyDescent="0.2">
      <c r="A611" s="199"/>
      <c r="B611" s="200"/>
      <c r="C611" s="200"/>
      <c r="D611" s="200"/>
      <c r="E611" s="200"/>
      <c r="F611" s="200"/>
      <c r="G611" s="200"/>
    </row>
    <row r="612" spans="1:7" x14ac:dyDescent="0.2">
      <c r="A612" s="199"/>
      <c r="B612" s="200"/>
      <c r="C612" s="200"/>
      <c r="D612" s="200"/>
      <c r="E612" s="200"/>
      <c r="F612" s="200"/>
      <c r="G612" s="200"/>
    </row>
    <row r="613" spans="1:7" x14ac:dyDescent="0.2">
      <c r="A613" s="199"/>
      <c r="B613" s="200"/>
      <c r="C613" s="200"/>
      <c r="D613" s="200"/>
      <c r="E613" s="200"/>
      <c r="F613" s="200"/>
      <c r="G613" s="200"/>
    </row>
    <row r="614" spans="1:7" x14ac:dyDescent="0.2">
      <c r="A614" s="199"/>
      <c r="B614" s="200"/>
      <c r="C614" s="200"/>
      <c r="D614" s="200"/>
      <c r="E614" s="200"/>
      <c r="F614" s="200"/>
      <c r="G614" s="200"/>
    </row>
    <row r="615" spans="1:7" x14ac:dyDescent="0.2">
      <c r="A615" s="199"/>
      <c r="B615" s="200"/>
      <c r="C615" s="200"/>
      <c r="D615" s="200"/>
      <c r="E615" s="200"/>
      <c r="F615" s="200"/>
      <c r="G615" s="200"/>
    </row>
    <row r="616" spans="1:7" x14ac:dyDescent="0.2">
      <c r="A616" s="199"/>
      <c r="B616" s="200"/>
      <c r="C616" s="200"/>
      <c r="D616" s="200"/>
      <c r="E616" s="200"/>
      <c r="F616" s="200"/>
      <c r="G616" s="200"/>
    </row>
    <row r="617" spans="1:7" x14ac:dyDescent="0.2">
      <c r="A617" s="199"/>
      <c r="B617" s="200"/>
      <c r="C617" s="200"/>
      <c r="D617" s="200"/>
      <c r="E617" s="200"/>
      <c r="F617" s="200"/>
      <c r="G617" s="200"/>
    </row>
    <row r="618" spans="1:7" x14ac:dyDescent="0.2">
      <c r="A618" s="199"/>
      <c r="B618" s="200"/>
      <c r="C618" s="200"/>
      <c r="D618" s="200"/>
      <c r="E618" s="200"/>
      <c r="F618" s="200"/>
      <c r="G618" s="200"/>
    </row>
    <row r="619" spans="1:7" x14ac:dyDescent="0.2">
      <c r="A619" s="199"/>
      <c r="B619" s="200"/>
      <c r="C619" s="200"/>
      <c r="D619" s="200"/>
      <c r="E619" s="200"/>
      <c r="F619" s="200"/>
      <c r="G619" s="200"/>
    </row>
    <row r="620" spans="1:7" x14ac:dyDescent="0.2">
      <c r="A620" s="199"/>
      <c r="B620" s="200"/>
      <c r="C620" s="200"/>
      <c r="D620" s="200"/>
      <c r="E620" s="200"/>
      <c r="F620" s="200"/>
      <c r="G620" s="200"/>
    </row>
    <row r="621" spans="1:7" x14ac:dyDescent="0.2">
      <c r="A621" s="199"/>
      <c r="B621" s="200"/>
      <c r="C621" s="200"/>
      <c r="D621" s="200"/>
      <c r="E621" s="200"/>
      <c r="F621" s="200"/>
      <c r="G621" s="200"/>
    </row>
    <row r="622" spans="1:7" x14ac:dyDescent="0.2">
      <c r="A622" s="199"/>
      <c r="B622" s="200"/>
      <c r="C622" s="200"/>
      <c r="D622" s="200"/>
      <c r="E622" s="200"/>
      <c r="F622" s="200"/>
      <c r="G622" s="200"/>
    </row>
    <row r="623" spans="1:7" x14ac:dyDescent="0.2">
      <c r="A623" s="199"/>
      <c r="B623" s="200"/>
      <c r="C623" s="200"/>
      <c r="D623" s="200"/>
      <c r="E623" s="200"/>
      <c r="F623" s="200"/>
      <c r="G623" s="200"/>
    </row>
    <row r="624" spans="1:7" x14ac:dyDescent="0.2">
      <c r="A624" s="199"/>
      <c r="B624" s="200"/>
      <c r="C624" s="200"/>
      <c r="D624" s="200"/>
      <c r="E624" s="200"/>
      <c r="F624" s="200"/>
      <c r="G624" s="200"/>
    </row>
    <row r="625" spans="1:7" x14ac:dyDescent="0.2">
      <c r="A625" s="199"/>
      <c r="B625" s="200"/>
      <c r="C625" s="200"/>
      <c r="D625" s="200"/>
      <c r="E625" s="200"/>
      <c r="F625" s="200"/>
      <c r="G625" s="200"/>
    </row>
    <row r="626" spans="1:7" x14ac:dyDescent="0.2">
      <c r="A626" s="199"/>
      <c r="B626" s="200"/>
      <c r="C626" s="200"/>
      <c r="D626" s="200"/>
      <c r="E626" s="200"/>
      <c r="F626" s="200"/>
      <c r="G626" s="200"/>
    </row>
    <row r="627" spans="1:7" x14ac:dyDescent="0.2">
      <c r="A627" s="199"/>
      <c r="B627" s="200"/>
      <c r="C627" s="200"/>
      <c r="D627" s="200"/>
      <c r="E627" s="200"/>
      <c r="F627" s="200"/>
      <c r="G627" s="200"/>
    </row>
    <row r="628" spans="1:7" x14ac:dyDescent="0.2">
      <c r="A628" s="199"/>
      <c r="B628" s="200"/>
      <c r="C628" s="200"/>
      <c r="D628" s="200"/>
      <c r="E628" s="200"/>
      <c r="F628" s="200"/>
      <c r="G628" s="200"/>
    </row>
    <row r="629" spans="1:7" x14ac:dyDescent="0.2">
      <c r="A629" s="199"/>
      <c r="B629" s="200"/>
      <c r="C629" s="200"/>
      <c r="D629" s="200"/>
      <c r="E629" s="200"/>
      <c r="F629" s="200"/>
      <c r="G629" s="200"/>
    </row>
    <row r="630" spans="1:7" x14ac:dyDescent="0.2">
      <c r="A630" s="199"/>
      <c r="B630" s="200"/>
      <c r="C630" s="200"/>
      <c r="D630" s="200"/>
      <c r="E630" s="200"/>
      <c r="F630" s="200"/>
      <c r="G630" s="200"/>
    </row>
    <row r="631" spans="1:7" x14ac:dyDescent="0.2">
      <c r="A631" s="199"/>
      <c r="B631" s="200"/>
      <c r="C631" s="200"/>
      <c r="D631" s="200"/>
      <c r="E631" s="200"/>
      <c r="F631" s="200"/>
      <c r="G631" s="200"/>
    </row>
    <row r="632" spans="1:7" x14ac:dyDescent="0.2">
      <c r="A632" s="199"/>
      <c r="B632" s="200"/>
      <c r="C632" s="200"/>
      <c r="D632" s="200"/>
      <c r="E632" s="200"/>
      <c r="F632" s="200"/>
      <c r="G632" s="200"/>
    </row>
    <row r="633" spans="1:7" x14ac:dyDescent="0.2">
      <c r="A633" s="199"/>
      <c r="B633" s="200"/>
      <c r="C633" s="200"/>
      <c r="D633" s="200"/>
      <c r="E633" s="200"/>
      <c r="F633" s="200"/>
      <c r="G633" s="200"/>
    </row>
    <row r="634" spans="1:7" x14ac:dyDescent="0.2">
      <c r="A634" s="199"/>
      <c r="B634" s="200"/>
      <c r="C634" s="200"/>
      <c r="D634" s="200"/>
      <c r="E634" s="200"/>
      <c r="F634" s="200"/>
      <c r="G634" s="200"/>
    </row>
    <row r="635" spans="1:7" x14ac:dyDescent="0.2">
      <c r="A635" s="199"/>
      <c r="B635" s="200"/>
      <c r="C635" s="200"/>
      <c r="D635" s="200"/>
      <c r="E635" s="200"/>
      <c r="F635" s="200"/>
      <c r="G635" s="200"/>
    </row>
    <row r="636" spans="1:7" x14ac:dyDescent="0.2">
      <c r="A636" s="199"/>
      <c r="B636" s="200"/>
      <c r="C636" s="200"/>
      <c r="D636" s="200"/>
      <c r="E636" s="200"/>
      <c r="F636" s="200"/>
      <c r="G636" s="200"/>
    </row>
    <row r="637" spans="1:7" x14ac:dyDescent="0.2">
      <c r="A637" s="199"/>
      <c r="B637" s="200"/>
      <c r="C637" s="200"/>
      <c r="D637" s="200"/>
      <c r="E637" s="200"/>
      <c r="F637" s="200"/>
      <c r="G637" s="200"/>
    </row>
    <row r="638" spans="1:7" x14ac:dyDescent="0.2">
      <c r="A638" s="199"/>
      <c r="B638" s="200"/>
      <c r="C638" s="200"/>
      <c r="D638" s="200"/>
      <c r="E638" s="200"/>
      <c r="F638" s="200"/>
      <c r="G638" s="200"/>
    </row>
    <row r="639" spans="1:7" x14ac:dyDescent="0.2">
      <c r="A639" s="199"/>
      <c r="B639" s="200"/>
      <c r="C639" s="200"/>
      <c r="D639" s="200"/>
      <c r="E639" s="200"/>
      <c r="F639" s="200"/>
      <c r="G639" s="200"/>
    </row>
    <row r="640" spans="1:7" x14ac:dyDescent="0.2">
      <c r="A640" s="199"/>
      <c r="B640" s="200"/>
      <c r="C640" s="200"/>
      <c r="D640" s="200"/>
      <c r="E640" s="200"/>
      <c r="F640" s="200"/>
      <c r="G640" s="200"/>
    </row>
    <row r="641" spans="1:7" x14ac:dyDescent="0.2">
      <c r="A641" s="199"/>
      <c r="B641" s="200"/>
      <c r="C641" s="200"/>
      <c r="D641" s="200"/>
      <c r="E641" s="200"/>
      <c r="F641" s="200"/>
      <c r="G641" s="200"/>
    </row>
    <row r="642" spans="1:7" x14ac:dyDescent="0.2">
      <c r="A642" s="199"/>
      <c r="B642" s="200"/>
      <c r="C642" s="200"/>
      <c r="D642" s="200"/>
      <c r="E642" s="200"/>
      <c r="F642" s="200"/>
      <c r="G642" s="200"/>
    </row>
    <row r="643" spans="1:7" x14ac:dyDescent="0.2">
      <c r="A643" s="199"/>
      <c r="B643" s="200"/>
      <c r="C643" s="200"/>
      <c r="D643" s="200"/>
      <c r="E643" s="200"/>
      <c r="F643" s="200"/>
      <c r="G643" s="200"/>
    </row>
    <row r="644" spans="1:7" x14ac:dyDescent="0.2">
      <c r="A644" s="199"/>
      <c r="B644" s="200"/>
      <c r="C644" s="200"/>
      <c r="D644" s="200"/>
      <c r="E644" s="200"/>
      <c r="F644" s="200"/>
      <c r="G644" s="200"/>
    </row>
    <row r="645" spans="1:7" x14ac:dyDescent="0.2">
      <c r="A645" s="199"/>
      <c r="B645" s="200"/>
      <c r="C645" s="200"/>
      <c r="D645" s="200"/>
      <c r="E645" s="200"/>
      <c r="F645" s="200"/>
      <c r="G645" s="200"/>
    </row>
    <row r="646" spans="1:7" x14ac:dyDescent="0.2">
      <c r="A646" s="199"/>
      <c r="B646" s="200"/>
      <c r="C646" s="200"/>
      <c r="D646" s="200"/>
      <c r="E646" s="200"/>
      <c r="F646" s="200"/>
      <c r="G646" s="200"/>
    </row>
    <row r="647" spans="1:7" x14ac:dyDescent="0.2">
      <c r="A647" s="199"/>
      <c r="B647" s="200"/>
      <c r="C647" s="200"/>
      <c r="D647" s="200"/>
      <c r="E647" s="200"/>
      <c r="F647" s="200"/>
      <c r="G647" s="200"/>
    </row>
    <row r="648" spans="1:7" x14ac:dyDescent="0.2">
      <c r="A648" s="199"/>
      <c r="B648" s="200"/>
      <c r="C648" s="200"/>
      <c r="D648" s="200"/>
      <c r="E648" s="200"/>
      <c r="F648" s="200"/>
      <c r="G648" s="200"/>
    </row>
    <row r="649" spans="1:7" x14ac:dyDescent="0.2">
      <c r="A649" s="199"/>
      <c r="B649" s="200"/>
      <c r="C649" s="200"/>
      <c r="D649" s="200"/>
      <c r="E649" s="200"/>
      <c r="F649" s="200"/>
      <c r="G649" s="200"/>
    </row>
    <row r="650" spans="1:7" x14ac:dyDescent="0.2">
      <c r="A650" s="199"/>
      <c r="B650" s="200"/>
      <c r="C650" s="200"/>
      <c r="D650" s="200"/>
      <c r="E650" s="200"/>
      <c r="F650" s="200"/>
      <c r="G650" s="200"/>
    </row>
    <row r="651" spans="1:7" x14ac:dyDescent="0.2">
      <c r="A651" s="199"/>
      <c r="B651" s="200"/>
      <c r="C651" s="200"/>
      <c r="D651" s="200"/>
      <c r="E651" s="200"/>
      <c r="F651" s="200"/>
      <c r="G651" s="200"/>
    </row>
    <row r="652" spans="1:7" x14ac:dyDescent="0.2">
      <c r="A652" s="199"/>
      <c r="B652" s="200"/>
      <c r="C652" s="200"/>
      <c r="D652" s="200"/>
      <c r="E652" s="200"/>
      <c r="F652" s="200"/>
      <c r="G652" s="200"/>
    </row>
    <row r="653" spans="1:7" x14ac:dyDescent="0.2">
      <c r="A653" s="199"/>
      <c r="B653" s="200"/>
      <c r="C653" s="200"/>
      <c r="D653" s="200"/>
      <c r="E653" s="200"/>
      <c r="F653" s="200"/>
      <c r="G653" s="200"/>
    </row>
    <row r="654" spans="1:7" x14ac:dyDescent="0.2">
      <c r="A654" s="199"/>
      <c r="B654" s="200"/>
      <c r="C654" s="200"/>
      <c r="D654" s="200"/>
      <c r="E654" s="200"/>
      <c r="F654" s="200"/>
      <c r="G654" s="200"/>
    </row>
    <row r="655" spans="1:7" x14ac:dyDescent="0.2">
      <c r="A655" s="199"/>
      <c r="B655" s="200"/>
      <c r="C655" s="200"/>
      <c r="D655" s="200"/>
      <c r="E655" s="200"/>
      <c r="F655" s="200"/>
      <c r="G655" s="200"/>
    </row>
    <row r="656" spans="1:7" x14ac:dyDescent="0.2">
      <c r="A656" s="199"/>
      <c r="B656" s="200"/>
      <c r="C656" s="200"/>
      <c r="D656" s="200"/>
      <c r="E656" s="200"/>
      <c r="F656" s="200"/>
      <c r="G656" s="200"/>
    </row>
    <row r="657" spans="1:7" x14ac:dyDescent="0.2">
      <c r="A657" s="199"/>
      <c r="B657" s="200"/>
      <c r="C657" s="200"/>
      <c r="D657" s="200"/>
      <c r="E657" s="200"/>
      <c r="F657" s="200"/>
      <c r="G657" s="200"/>
    </row>
    <row r="658" spans="1:7" x14ac:dyDescent="0.2">
      <c r="A658" s="199"/>
      <c r="B658" s="200"/>
      <c r="C658" s="200"/>
      <c r="D658" s="200"/>
      <c r="E658" s="200"/>
      <c r="F658" s="200"/>
      <c r="G658" s="200"/>
    </row>
    <row r="659" spans="1:7" x14ac:dyDescent="0.2">
      <c r="A659" s="199"/>
      <c r="B659" s="200"/>
      <c r="C659" s="200"/>
      <c r="D659" s="200"/>
      <c r="E659" s="200"/>
      <c r="F659" s="200"/>
      <c r="G659" s="200"/>
    </row>
    <row r="660" spans="1:7" x14ac:dyDescent="0.2">
      <c r="A660" s="199"/>
      <c r="B660" s="200"/>
      <c r="C660" s="200"/>
      <c r="D660" s="200"/>
      <c r="E660" s="200"/>
      <c r="F660" s="200"/>
      <c r="G660" s="200"/>
    </row>
    <row r="661" spans="1:7" x14ac:dyDescent="0.2">
      <c r="A661" s="199"/>
      <c r="B661" s="200"/>
      <c r="C661" s="200"/>
      <c r="D661" s="200"/>
      <c r="E661" s="200"/>
      <c r="F661" s="200"/>
      <c r="G661" s="200"/>
    </row>
    <row r="662" spans="1:7" x14ac:dyDescent="0.2">
      <c r="A662" s="199"/>
      <c r="B662" s="200"/>
      <c r="C662" s="200"/>
      <c r="D662" s="200"/>
      <c r="E662" s="200"/>
      <c r="F662" s="200"/>
      <c r="G662" s="200"/>
    </row>
    <row r="663" spans="1:7" x14ac:dyDescent="0.2">
      <c r="A663" s="199"/>
      <c r="B663" s="200"/>
      <c r="C663" s="200"/>
      <c r="D663" s="200"/>
      <c r="E663" s="200"/>
      <c r="F663" s="200"/>
      <c r="G663" s="200"/>
    </row>
    <row r="664" spans="1:7" x14ac:dyDescent="0.2">
      <c r="A664" s="199"/>
      <c r="B664" s="200"/>
      <c r="C664" s="200"/>
      <c r="D664" s="200"/>
      <c r="E664" s="200"/>
      <c r="F664" s="200"/>
      <c r="G664" s="200"/>
    </row>
    <row r="665" spans="1:7" x14ac:dyDescent="0.2">
      <c r="A665" s="199"/>
      <c r="B665" s="200"/>
      <c r="C665" s="200"/>
      <c r="D665" s="200"/>
      <c r="E665" s="200"/>
      <c r="F665" s="200"/>
      <c r="G665" s="200"/>
    </row>
    <row r="666" spans="1:7" x14ac:dyDescent="0.2">
      <c r="A666" s="199"/>
      <c r="B666" s="200"/>
      <c r="C666" s="200"/>
      <c r="D666" s="200"/>
      <c r="E666" s="200"/>
      <c r="F666" s="200"/>
      <c r="G666" s="200"/>
    </row>
    <row r="667" spans="1:7" x14ac:dyDescent="0.2">
      <c r="A667" s="199"/>
      <c r="B667" s="200"/>
      <c r="C667" s="200"/>
      <c r="D667" s="200"/>
      <c r="E667" s="200"/>
      <c r="F667" s="200"/>
      <c r="G667" s="200"/>
    </row>
    <row r="668" spans="1:7" x14ac:dyDescent="0.2">
      <c r="A668" s="199"/>
      <c r="B668" s="200"/>
      <c r="C668" s="200"/>
      <c r="D668" s="200"/>
      <c r="E668" s="200"/>
      <c r="F668" s="200"/>
      <c r="G668" s="200"/>
    </row>
    <row r="669" spans="1:7" x14ac:dyDescent="0.2">
      <c r="A669" s="199"/>
      <c r="B669" s="200"/>
      <c r="C669" s="200"/>
      <c r="D669" s="200"/>
      <c r="E669" s="200"/>
      <c r="F669" s="200"/>
      <c r="G669" s="200"/>
    </row>
    <row r="670" spans="1:7" x14ac:dyDescent="0.2">
      <c r="A670" s="199"/>
      <c r="B670" s="200"/>
      <c r="C670" s="200"/>
      <c r="D670" s="200"/>
      <c r="E670" s="200"/>
      <c r="F670" s="200"/>
      <c r="G670" s="200"/>
    </row>
    <row r="671" spans="1:7" x14ac:dyDescent="0.2">
      <c r="A671" s="199"/>
      <c r="B671" s="200"/>
      <c r="C671" s="200"/>
      <c r="D671" s="200"/>
      <c r="E671" s="200"/>
      <c r="F671" s="200"/>
      <c r="G671" s="200"/>
    </row>
    <row r="672" spans="1:7" x14ac:dyDescent="0.2">
      <c r="A672" s="199"/>
      <c r="B672" s="200"/>
      <c r="C672" s="200"/>
      <c r="D672" s="200"/>
      <c r="E672" s="200"/>
      <c r="F672" s="200"/>
      <c r="G672" s="200"/>
    </row>
    <row r="673" spans="1:7" x14ac:dyDescent="0.2">
      <c r="A673" s="199"/>
      <c r="B673" s="200"/>
      <c r="C673" s="200"/>
      <c r="D673" s="200"/>
      <c r="E673" s="200"/>
      <c r="F673" s="200"/>
      <c r="G673" s="200"/>
    </row>
    <row r="674" spans="1:7" x14ac:dyDescent="0.2">
      <c r="A674" s="199"/>
      <c r="B674" s="200"/>
      <c r="C674" s="200"/>
      <c r="D674" s="200"/>
      <c r="E674" s="200"/>
      <c r="F674" s="200"/>
      <c r="G674" s="200"/>
    </row>
    <row r="675" spans="1:7" x14ac:dyDescent="0.2">
      <c r="A675" s="199"/>
      <c r="B675" s="200"/>
      <c r="C675" s="200"/>
      <c r="D675" s="200"/>
      <c r="E675" s="200"/>
      <c r="F675" s="200"/>
      <c r="G675" s="200"/>
    </row>
    <row r="676" spans="1:7" x14ac:dyDescent="0.2">
      <c r="A676" s="199"/>
      <c r="B676" s="200"/>
      <c r="C676" s="200"/>
      <c r="D676" s="200"/>
      <c r="E676" s="200"/>
      <c r="F676" s="200"/>
      <c r="G676" s="200"/>
    </row>
    <row r="677" spans="1:7" x14ac:dyDescent="0.2">
      <c r="A677" s="199"/>
      <c r="B677" s="200"/>
      <c r="C677" s="200"/>
      <c r="D677" s="200"/>
      <c r="E677" s="200"/>
      <c r="F677" s="200"/>
      <c r="G677" s="200"/>
    </row>
    <row r="678" spans="1:7" x14ac:dyDescent="0.2">
      <c r="A678" s="199"/>
      <c r="B678" s="200"/>
      <c r="C678" s="200"/>
      <c r="D678" s="200"/>
      <c r="E678" s="200"/>
      <c r="F678" s="200"/>
      <c r="G678" s="200"/>
    </row>
    <row r="679" spans="1:7" x14ac:dyDescent="0.2">
      <c r="A679" s="199"/>
      <c r="B679" s="200"/>
      <c r="C679" s="200"/>
      <c r="D679" s="200"/>
      <c r="E679" s="200"/>
      <c r="F679" s="200"/>
      <c r="G679" s="200"/>
    </row>
    <row r="680" spans="1:7" x14ac:dyDescent="0.2">
      <c r="A680" s="199"/>
      <c r="B680" s="200"/>
      <c r="C680" s="200"/>
      <c r="D680" s="200"/>
      <c r="E680" s="200"/>
      <c r="F680" s="200"/>
      <c r="G680" s="200"/>
    </row>
    <row r="681" spans="1:7" x14ac:dyDescent="0.2">
      <c r="A681" s="199"/>
      <c r="B681" s="200"/>
      <c r="C681" s="200"/>
      <c r="D681" s="200"/>
      <c r="E681" s="200"/>
      <c r="F681" s="200"/>
      <c r="G681" s="200"/>
    </row>
    <row r="682" spans="1:7" x14ac:dyDescent="0.2">
      <c r="A682" s="199"/>
      <c r="B682" s="200"/>
      <c r="C682" s="200"/>
      <c r="D682" s="200"/>
      <c r="E682" s="200"/>
      <c r="F682" s="200"/>
      <c r="G682" s="200"/>
    </row>
    <row r="683" spans="1:7" x14ac:dyDescent="0.2">
      <c r="A683" s="199"/>
      <c r="B683" s="200"/>
      <c r="C683" s="200"/>
      <c r="D683" s="200"/>
      <c r="E683" s="200"/>
      <c r="F683" s="200"/>
      <c r="G683" s="200"/>
    </row>
    <row r="684" spans="1:7" x14ac:dyDescent="0.2">
      <c r="A684" s="199"/>
      <c r="B684" s="200"/>
      <c r="C684" s="200"/>
      <c r="D684" s="200"/>
      <c r="E684" s="200"/>
      <c r="F684" s="200"/>
      <c r="G684" s="200"/>
    </row>
    <row r="685" spans="1:7" x14ac:dyDescent="0.2">
      <c r="A685" s="199"/>
      <c r="B685" s="200"/>
      <c r="C685" s="200"/>
      <c r="D685" s="200"/>
      <c r="E685" s="200"/>
      <c r="F685" s="200"/>
      <c r="G685" s="200"/>
    </row>
    <row r="686" spans="1:7" x14ac:dyDescent="0.2">
      <c r="A686" s="199"/>
      <c r="B686" s="200"/>
      <c r="C686" s="200"/>
      <c r="D686" s="200"/>
      <c r="E686" s="200"/>
      <c r="F686" s="200"/>
      <c r="G686" s="200"/>
    </row>
    <row r="687" spans="1:7" x14ac:dyDescent="0.2">
      <c r="A687" s="199"/>
      <c r="B687" s="200"/>
      <c r="C687" s="200"/>
      <c r="D687" s="200"/>
      <c r="E687" s="200"/>
      <c r="F687" s="200"/>
      <c r="G687" s="200"/>
    </row>
    <row r="688" spans="1:7" x14ac:dyDescent="0.2">
      <c r="A688" s="199"/>
      <c r="B688" s="200"/>
      <c r="C688" s="200"/>
      <c r="D688" s="200"/>
      <c r="E688" s="200"/>
      <c r="F688" s="200"/>
      <c r="G688" s="200"/>
    </row>
    <row r="689" spans="1:7" x14ac:dyDescent="0.2">
      <c r="A689" s="199"/>
      <c r="B689" s="200"/>
      <c r="C689" s="200"/>
      <c r="D689" s="200"/>
      <c r="E689" s="200"/>
      <c r="F689" s="200"/>
      <c r="G689" s="200"/>
    </row>
    <row r="690" spans="1:7" x14ac:dyDescent="0.2">
      <c r="A690" s="199"/>
      <c r="B690" s="200"/>
      <c r="C690" s="200"/>
      <c r="D690" s="200"/>
      <c r="E690" s="200"/>
      <c r="F690" s="200"/>
      <c r="G690" s="200"/>
    </row>
    <row r="691" spans="1:7" x14ac:dyDescent="0.2">
      <c r="A691" s="199"/>
      <c r="B691" s="200"/>
      <c r="C691" s="200"/>
      <c r="D691" s="200"/>
      <c r="E691" s="200"/>
      <c r="F691" s="200"/>
      <c r="G691" s="200"/>
    </row>
    <row r="692" spans="1:7" x14ac:dyDescent="0.2">
      <c r="A692" s="199"/>
      <c r="B692" s="200"/>
      <c r="C692" s="200"/>
      <c r="D692" s="200"/>
      <c r="E692" s="200"/>
      <c r="F692" s="200"/>
      <c r="G692" s="200"/>
    </row>
    <row r="693" spans="1:7" x14ac:dyDescent="0.2">
      <c r="A693" s="199"/>
      <c r="B693" s="200"/>
      <c r="C693" s="200"/>
      <c r="D693" s="200"/>
      <c r="E693" s="200"/>
      <c r="F693" s="200"/>
      <c r="G693" s="200"/>
    </row>
    <row r="694" spans="1:7" x14ac:dyDescent="0.2">
      <c r="A694" s="199"/>
      <c r="B694" s="200"/>
      <c r="C694" s="200"/>
      <c r="D694" s="200"/>
      <c r="E694" s="200"/>
      <c r="F694" s="200"/>
      <c r="G694" s="200"/>
    </row>
    <row r="695" spans="1:7" x14ac:dyDescent="0.2">
      <c r="A695" s="199"/>
      <c r="B695" s="200"/>
      <c r="C695" s="200"/>
      <c r="D695" s="200"/>
      <c r="E695" s="200"/>
      <c r="F695" s="200"/>
      <c r="G695" s="200"/>
    </row>
    <row r="696" spans="1:7" x14ac:dyDescent="0.2">
      <c r="A696" s="199"/>
      <c r="B696" s="200"/>
      <c r="C696" s="200"/>
      <c r="D696" s="200"/>
      <c r="E696" s="200"/>
      <c r="F696" s="200"/>
      <c r="G696" s="200"/>
    </row>
    <row r="697" spans="1:7" x14ac:dyDescent="0.2">
      <c r="A697" s="199"/>
      <c r="B697" s="200"/>
      <c r="C697" s="200"/>
      <c r="D697" s="200"/>
      <c r="E697" s="200"/>
      <c r="F697" s="200"/>
      <c r="G697" s="200"/>
    </row>
    <row r="698" spans="1:7" x14ac:dyDescent="0.2">
      <c r="A698" s="199"/>
      <c r="B698" s="200"/>
      <c r="C698" s="200"/>
      <c r="D698" s="200"/>
      <c r="E698" s="200"/>
      <c r="F698" s="200"/>
      <c r="G698" s="200"/>
    </row>
    <row r="699" spans="1:7" x14ac:dyDescent="0.2">
      <c r="A699" s="199"/>
      <c r="B699" s="200"/>
      <c r="C699" s="200"/>
      <c r="D699" s="200"/>
      <c r="E699" s="200"/>
      <c r="F699" s="200"/>
      <c r="G699" s="200"/>
    </row>
    <row r="700" spans="1:7" x14ac:dyDescent="0.2">
      <c r="A700" s="199"/>
      <c r="B700" s="200"/>
      <c r="C700" s="200"/>
      <c r="D700" s="200"/>
      <c r="E700" s="200"/>
      <c r="F700" s="200"/>
      <c r="G700" s="200"/>
    </row>
    <row r="701" spans="1:7" x14ac:dyDescent="0.2">
      <c r="A701" s="199"/>
      <c r="B701" s="200"/>
      <c r="C701" s="200"/>
      <c r="D701" s="200"/>
      <c r="E701" s="200"/>
      <c r="F701" s="200"/>
      <c r="G701" s="200"/>
    </row>
    <row r="702" spans="1:7" x14ac:dyDescent="0.2">
      <c r="A702" s="199"/>
      <c r="B702" s="200"/>
      <c r="C702" s="200"/>
      <c r="D702" s="200"/>
      <c r="E702" s="200"/>
      <c r="F702" s="200"/>
      <c r="G702" s="200"/>
    </row>
    <row r="703" spans="1:7" x14ac:dyDescent="0.2">
      <c r="A703" s="199"/>
      <c r="B703" s="200"/>
      <c r="C703" s="200"/>
      <c r="D703" s="200"/>
      <c r="E703" s="200"/>
      <c r="F703" s="200"/>
      <c r="G703" s="200"/>
    </row>
    <row r="704" spans="1:7" x14ac:dyDescent="0.2">
      <c r="A704" s="199"/>
      <c r="B704" s="200"/>
      <c r="C704" s="200"/>
      <c r="D704" s="200"/>
      <c r="E704" s="200"/>
      <c r="F704" s="200"/>
      <c r="G704" s="200"/>
    </row>
    <row r="705" spans="1:7" x14ac:dyDescent="0.2">
      <c r="A705" s="199"/>
      <c r="B705" s="200"/>
      <c r="C705" s="200"/>
      <c r="D705" s="200"/>
      <c r="E705" s="200"/>
      <c r="F705" s="200"/>
      <c r="G705" s="200"/>
    </row>
    <row r="706" spans="1:7" x14ac:dyDescent="0.2">
      <c r="A706" s="199"/>
      <c r="B706" s="200"/>
      <c r="C706" s="200"/>
      <c r="D706" s="200"/>
      <c r="E706" s="200"/>
      <c r="F706" s="200"/>
      <c r="G706" s="200"/>
    </row>
    <row r="707" spans="1:7" x14ac:dyDescent="0.2">
      <c r="A707" s="199"/>
      <c r="B707" s="200"/>
      <c r="C707" s="200"/>
      <c r="D707" s="200"/>
      <c r="E707" s="200"/>
      <c r="F707" s="200"/>
      <c r="G707" s="200"/>
    </row>
    <row r="708" spans="1:7" x14ac:dyDescent="0.2">
      <c r="A708" s="199"/>
      <c r="B708" s="200"/>
      <c r="C708" s="200"/>
      <c r="D708" s="200"/>
      <c r="E708" s="200"/>
      <c r="F708" s="200"/>
      <c r="G708" s="200"/>
    </row>
    <row r="709" spans="1:7" x14ac:dyDescent="0.2">
      <c r="A709" s="199"/>
      <c r="B709" s="200"/>
      <c r="C709" s="200"/>
      <c r="D709" s="200"/>
      <c r="E709" s="200"/>
      <c r="F709" s="200"/>
      <c r="G709" s="200"/>
    </row>
    <row r="710" spans="1:7" x14ac:dyDescent="0.2">
      <c r="A710" s="199"/>
      <c r="B710" s="200"/>
      <c r="C710" s="200"/>
      <c r="D710" s="200"/>
      <c r="E710" s="200"/>
      <c r="F710" s="200"/>
      <c r="G710" s="200"/>
    </row>
    <row r="711" spans="1:7" x14ac:dyDescent="0.2">
      <c r="A711" s="199"/>
      <c r="B711" s="200"/>
      <c r="C711" s="200"/>
      <c r="D711" s="200"/>
      <c r="E711" s="200"/>
      <c r="F711" s="200"/>
      <c r="G711" s="200"/>
    </row>
    <row r="712" spans="1:7" x14ac:dyDescent="0.2">
      <c r="A712" s="199"/>
      <c r="B712" s="200"/>
      <c r="C712" s="200"/>
      <c r="D712" s="200"/>
      <c r="E712" s="200"/>
      <c r="F712" s="200"/>
      <c r="G712" s="200"/>
    </row>
    <row r="713" spans="1:7" x14ac:dyDescent="0.2">
      <c r="A713" s="199"/>
      <c r="B713" s="200"/>
      <c r="C713" s="200"/>
      <c r="D713" s="200"/>
      <c r="E713" s="200"/>
      <c r="F713" s="200"/>
      <c r="G713" s="200"/>
    </row>
    <row r="714" spans="1:7" x14ac:dyDescent="0.2">
      <c r="A714" s="199"/>
      <c r="B714" s="200"/>
      <c r="C714" s="200"/>
      <c r="D714" s="200"/>
      <c r="E714" s="200"/>
      <c r="F714" s="200"/>
      <c r="G714" s="200"/>
    </row>
    <row r="715" spans="1:7" x14ac:dyDescent="0.2">
      <c r="A715" s="199"/>
      <c r="B715" s="200"/>
      <c r="C715" s="200"/>
      <c r="D715" s="200"/>
      <c r="E715" s="200"/>
      <c r="F715" s="200"/>
      <c r="G715" s="200"/>
    </row>
    <row r="716" spans="1:7" x14ac:dyDescent="0.2">
      <c r="A716" s="199"/>
      <c r="B716" s="200"/>
      <c r="C716" s="200"/>
      <c r="D716" s="200"/>
      <c r="E716" s="200"/>
      <c r="F716" s="200"/>
      <c r="G716" s="200"/>
    </row>
    <row r="717" spans="1:7" x14ac:dyDescent="0.2">
      <c r="A717" s="199"/>
      <c r="B717" s="200"/>
      <c r="C717" s="200"/>
      <c r="D717" s="200"/>
      <c r="E717" s="200"/>
      <c r="F717" s="200"/>
      <c r="G717" s="200"/>
    </row>
    <row r="718" spans="1:7" x14ac:dyDescent="0.2">
      <c r="A718" s="199"/>
      <c r="B718" s="200"/>
      <c r="C718" s="200"/>
      <c r="D718" s="200"/>
      <c r="E718" s="200"/>
      <c r="F718" s="200"/>
      <c r="G718" s="200"/>
    </row>
    <row r="719" spans="1:7" x14ac:dyDescent="0.2">
      <c r="A719" s="199"/>
      <c r="B719" s="200"/>
      <c r="C719" s="200"/>
      <c r="D719" s="200"/>
      <c r="E719" s="200"/>
      <c r="F719" s="200"/>
      <c r="G719" s="200"/>
    </row>
    <row r="720" spans="1:7" x14ac:dyDescent="0.2">
      <c r="A720" s="199"/>
      <c r="B720" s="200"/>
      <c r="C720" s="200"/>
      <c r="D720" s="200"/>
      <c r="E720" s="200"/>
      <c r="F720" s="200"/>
      <c r="G720" s="200"/>
    </row>
    <row r="721" spans="1:7" x14ac:dyDescent="0.2">
      <c r="A721" s="199"/>
      <c r="B721" s="200"/>
      <c r="C721" s="200"/>
      <c r="D721" s="200"/>
      <c r="E721" s="200"/>
      <c r="F721" s="200"/>
      <c r="G721" s="200"/>
    </row>
    <row r="722" spans="1:7" x14ac:dyDescent="0.2">
      <c r="A722" s="199"/>
      <c r="B722" s="200"/>
      <c r="C722" s="200"/>
      <c r="D722" s="200"/>
      <c r="E722" s="200"/>
      <c r="F722" s="200"/>
      <c r="G722" s="200"/>
    </row>
    <row r="723" spans="1:7" x14ac:dyDescent="0.2">
      <c r="A723" s="199"/>
      <c r="B723" s="200"/>
      <c r="C723" s="200"/>
      <c r="D723" s="200"/>
      <c r="E723" s="200"/>
      <c r="F723" s="200"/>
      <c r="G723" s="200"/>
    </row>
    <row r="724" spans="1:7" x14ac:dyDescent="0.2">
      <c r="A724" s="199"/>
      <c r="B724" s="200"/>
      <c r="C724" s="200"/>
      <c r="D724" s="200"/>
      <c r="E724" s="200"/>
      <c r="F724" s="200"/>
      <c r="G724" s="200"/>
    </row>
    <row r="725" spans="1:7" x14ac:dyDescent="0.2">
      <c r="A725" s="199"/>
      <c r="B725" s="200"/>
      <c r="C725" s="200"/>
      <c r="D725" s="200"/>
      <c r="E725" s="200"/>
      <c r="F725" s="200"/>
      <c r="G725" s="200"/>
    </row>
    <row r="726" spans="1:7" x14ac:dyDescent="0.2">
      <c r="A726" s="199"/>
      <c r="B726" s="200"/>
      <c r="C726" s="200"/>
      <c r="D726" s="200"/>
      <c r="E726" s="200"/>
      <c r="F726" s="200"/>
      <c r="G726" s="200"/>
    </row>
    <row r="727" spans="1:7" x14ac:dyDescent="0.2">
      <c r="A727" s="199"/>
      <c r="B727" s="200"/>
      <c r="C727" s="200"/>
      <c r="D727" s="200"/>
      <c r="E727" s="200"/>
      <c r="F727" s="200"/>
      <c r="G727" s="200"/>
    </row>
    <row r="728" spans="1:7" x14ac:dyDescent="0.2">
      <c r="A728" s="199"/>
      <c r="B728" s="200"/>
      <c r="C728" s="200"/>
      <c r="D728" s="200"/>
      <c r="E728" s="200"/>
      <c r="F728" s="200"/>
      <c r="G728" s="200"/>
    </row>
    <row r="729" spans="1:7" x14ac:dyDescent="0.2">
      <c r="A729" s="199"/>
      <c r="B729" s="200"/>
      <c r="C729" s="200"/>
      <c r="D729" s="200"/>
      <c r="E729" s="200"/>
      <c r="F729" s="200"/>
      <c r="G729" s="200"/>
    </row>
    <row r="730" spans="1:7" x14ac:dyDescent="0.2">
      <c r="A730" s="199"/>
      <c r="B730" s="200"/>
      <c r="C730" s="200"/>
      <c r="D730" s="200"/>
      <c r="E730" s="200"/>
      <c r="F730" s="200"/>
      <c r="G730" s="200"/>
    </row>
    <row r="731" spans="1:7" x14ac:dyDescent="0.2">
      <c r="A731" s="199"/>
      <c r="B731" s="200"/>
      <c r="C731" s="200"/>
      <c r="D731" s="200"/>
      <c r="E731" s="200"/>
      <c r="F731" s="200"/>
      <c r="G731" s="200"/>
    </row>
    <row r="732" spans="1:7" x14ac:dyDescent="0.2">
      <c r="A732" s="199"/>
      <c r="B732" s="200"/>
      <c r="C732" s="200"/>
      <c r="D732" s="200"/>
      <c r="E732" s="200"/>
      <c r="F732" s="200"/>
      <c r="G732" s="200"/>
    </row>
    <row r="733" spans="1:7" x14ac:dyDescent="0.2">
      <c r="A733" s="199"/>
      <c r="B733" s="200"/>
      <c r="C733" s="200"/>
      <c r="D733" s="200"/>
      <c r="E733" s="200"/>
      <c r="F733" s="200"/>
      <c r="G733" s="200"/>
    </row>
    <row r="734" spans="1:7" x14ac:dyDescent="0.2">
      <c r="A734" s="199"/>
      <c r="B734" s="200"/>
      <c r="C734" s="200"/>
      <c r="D734" s="200"/>
      <c r="E734" s="200"/>
      <c r="F734" s="200"/>
      <c r="G734" s="200"/>
    </row>
    <row r="735" spans="1:7" x14ac:dyDescent="0.2">
      <c r="A735" s="199"/>
      <c r="B735" s="200"/>
      <c r="C735" s="200"/>
      <c r="D735" s="200"/>
      <c r="E735" s="200"/>
      <c r="F735" s="200"/>
      <c r="G735" s="200"/>
    </row>
    <row r="736" spans="1:7" x14ac:dyDescent="0.2">
      <c r="A736" s="199"/>
      <c r="B736" s="200"/>
      <c r="C736" s="200"/>
      <c r="D736" s="200"/>
      <c r="E736" s="200"/>
      <c r="F736" s="200"/>
      <c r="G736" s="200"/>
    </row>
    <row r="737" spans="1:7" x14ac:dyDescent="0.2">
      <c r="A737" s="199"/>
      <c r="B737" s="200"/>
      <c r="C737" s="200"/>
      <c r="D737" s="200"/>
      <c r="E737" s="200"/>
      <c r="F737" s="200"/>
      <c r="G737" s="200"/>
    </row>
    <row r="738" spans="1:7" x14ac:dyDescent="0.2">
      <c r="A738" s="199"/>
      <c r="B738" s="200"/>
      <c r="C738" s="200"/>
      <c r="D738" s="200"/>
      <c r="E738" s="200"/>
      <c r="F738" s="200"/>
      <c r="G738" s="200"/>
    </row>
    <row r="739" spans="1:7" x14ac:dyDescent="0.2">
      <c r="A739" s="199"/>
      <c r="B739" s="200"/>
      <c r="C739" s="200"/>
      <c r="D739" s="200"/>
      <c r="E739" s="200"/>
      <c r="F739" s="200"/>
      <c r="G739" s="200"/>
    </row>
    <row r="740" spans="1:7" x14ac:dyDescent="0.2">
      <c r="A740" s="199"/>
      <c r="B740" s="200"/>
      <c r="C740" s="200"/>
      <c r="D740" s="200"/>
      <c r="E740" s="200"/>
      <c r="F740" s="200"/>
      <c r="G740" s="200"/>
    </row>
    <row r="741" spans="1:7" x14ac:dyDescent="0.2">
      <c r="A741" s="199"/>
      <c r="B741" s="200"/>
      <c r="C741" s="200"/>
      <c r="D741" s="200"/>
      <c r="E741" s="200"/>
      <c r="F741" s="200"/>
      <c r="G741" s="200"/>
    </row>
    <row r="742" spans="1:7" x14ac:dyDescent="0.2">
      <c r="A742" s="199"/>
      <c r="B742" s="200"/>
      <c r="C742" s="200"/>
      <c r="D742" s="200"/>
      <c r="E742" s="200"/>
      <c r="F742" s="200"/>
      <c r="G742" s="200"/>
    </row>
    <row r="743" spans="1:7" x14ac:dyDescent="0.2">
      <c r="A743" s="199"/>
      <c r="B743" s="200"/>
      <c r="C743" s="200"/>
      <c r="D743" s="200"/>
      <c r="E743" s="200"/>
      <c r="F743" s="200"/>
      <c r="G743" s="200"/>
    </row>
    <row r="744" spans="1:7" x14ac:dyDescent="0.2">
      <c r="A744" s="199"/>
      <c r="B744" s="200"/>
      <c r="C744" s="200"/>
      <c r="D744" s="200"/>
      <c r="E744" s="200"/>
      <c r="F744" s="200"/>
      <c r="G744" s="200"/>
    </row>
    <row r="745" spans="1:7" x14ac:dyDescent="0.2">
      <c r="A745" s="199"/>
      <c r="B745" s="200"/>
      <c r="C745" s="200"/>
      <c r="D745" s="200"/>
      <c r="E745" s="200"/>
      <c r="F745" s="200"/>
      <c r="G745" s="200"/>
    </row>
    <row r="746" spans="1:7" x14ac:dyDescent="0.2">
      <c r="A746" s="199"/>
      <c r="B746" s="200"/>
      <c r="C746" s="200"/>
      <c r="D746" s="200"/>
      <c r="E746" s="200"/>
      <c r="F746" s="200"/>
      <c r="G746" s="200"/>
    </row>
    <row r="747" spans="1:7" x14ac:dyDescent="0.2">
      <c r="A747" s="199"/>
      <c r="B747" s="200"/>
      <c r="C747" s="200"/>
      <c r="D747" s="200"/>
      <c r="E747" s="200"/>
      <c r="F747" s="200"/>
      <c r="G747" s="200"/>
    </row>
    <row r="748" spans="1:7" x14ac:dyDescent="0.2">
      <c r="A748" s="199"/>
      <c r="B748" s="200"/>
      <c r="C748" s="200"/>
      <c r="D748" s="200"/>
      <c r="E748" s="200"/>
      <c r="F748" s="200"/>
      <c r="G748" s="200"/>
    </row>
    <row r="749" spans="1:7" x14ac:dyDescent="0.2">
      <c r="A749" s="199"/>
      <c r="B749" s="200"/>
      <c r="C749" s="200"/>
      <c r="D749" s="200"/>
      <c r="E749" s="200"/>
      <c r="F749" s="200"/>
      <c r="G749" s="200"/>
    </row>
    <row r="750" spans="1:7" x14ac:dyDescent="0.2">
      <c r="A750" s="199"/>
      <c r="B750" s="200"/>
      <c r="C750" s="200"/>
      <c r="D750" s="200"/>
      <c r="E750" s="200"/>
      <c r="F750" s="200"/>
      <c r="G750" s="200"/>
    </row>
    <row r="751" spans="1:7" x14ac:dyDescent="0.2">
      <c r="A751" s="199"/>
      <c r="B751" s="200"/>
      <c r="C751" s="200"/>
      <c r="D751" s="200"/>
      <c r="E751" s="200"/>
      <c r="F751" s="200"/>
      <c r="G751" s="200"/>
    </row>
    <row r="752" spans="1:7" x14ac:dyDescent="0.2">
      <c r="A752" s="199"/>
      <c r="B752" s="200"/>
      <c r="C752" s="200"/>
      <c r="D752" s="200"/>
      <c r="E752" s="200"/>
      <c r="F752" s="200"/>
      <c r="G752" s="200"/>
    </row>
    <row r="753" spans="1:7" x14ac:dyDescent="0.2">
      <c r="A753" s="199"/>
      <c r="B753" s="200"/>
      <c r="C753" s="200"/>
      <c r="D753" s="200"/>
      <c r="E753" s="200"/>
      <c r="F753" s="200"/>
      <c r="G753" s="200"/>
    </row>
    <row r="754" spans="1:7" x14ac:dyDescent="0.2">
      <c r="A754" s="199"/>
      <c r="B754" s="200"/>
      <c r="C754" s="200"/>
      <c r="D754" s="200"/>
      <c r="E754" s="200"/>
      <c r="F754" s="200"/>
      <c r="G754" s="200"/>
    </row>
    <row r="755" spans="1:7" x14ac:dyDescent="0.2">
      <c r="A755" s="199"/>
      <c r="B755" s="200"/>
      <c r="C755" s="200"/>
      <c r="D755" s="200"/>
      <c r="E755" s="200"/>
      <c r="F755" s="200"/>
      <c r="G755" s="200"/>
    </row>
    <row r="756" spans="1:7" x14ac:dyDescent="0.2">
      <c r="A756" s="199"/>
      <c r="B756" s="200"/>
      <c r="C756" s="200"/>
      <c r="D756" s="200"/>
      <c r="E756" s="200"/>
      <c r="F756" s="200"/>
      <c r="G756" s="200"/>
    </row>
    <row r="757" spans="1:7" x14ac:dyDescent="0.2">
      <c r="A757" s="199"/>
      <c r="B757" s="200"/>
      <c r="C757" s="200"/>
      <c r="D757" s="200"/>
      <c r="E757" s="200"/>
      <c r="F757" s="200"/>
      <c r="G757" s="200"/>
    </row>
    <row r="758" spans="1:7" x14ac:dyDescent="0.2">
      <c r="A758" s="199"/>
      <c r="B758" s="200"/>
      <c r="C758" s="200"/>
      <c r="D758" s="200"/>
      <c r="E758" s="200"/>
      <c r="F758" s="200"/>
      <c r="G758" s="200"/>
    </row>
    <row r="759" spans="1:7" x14ac:dyDescent="0.2">
      <c r="A759" s="199"/>
      <c r="B759" s="200"/>
      <c r="C759" s="200"/>
      <c r="D759" s="200"/>
      <c r="E759" s="200"/>
      <c r="F759" s="200"/>
      <c r="G759" s="200"/>
    </row>
    <row r="760" spans="1:7" x14ac:dyDescent="0.2">
      <c r="A760" s="199"/>
      <c r="B760" s="200"/>
      <c r="C760" s="200"/>
      <c r="D760" s="200"/>
      <c r="E760" s="200"/>
      <c r="F760" s="200"/>
      <c r="G760" s="200"/>
    </row>
    <row r="761" spans="1:7" x14ac:dyDescent="0.2">
      <c r="A761" s="199"/>
      <c r="B761" s="200"/>
      <c r="C761" s="200"/>
      <c r="D761" s="200"/>
      <c r="E761" s="200"/>
      <c r="F761" s="200"/>
      <c r="G761" s="200"/>
    </row>
    <row r="762" spans="1:7" x14ac:dyDescent="0.2">
      <c r="A762" s="199"/>
      <c r="B762" s="200"/>
      <c r="C762" s="200"/>
      <c r="D762" s="200"/>
      <c r="E762" s="200"/>
      <c r="F762" s="200"/>
      <c r="G762" s="200"/>
    </row>
    <row r="763" spans="1:7" x14ac:dyDescent="0.2">
      <c r="A763" s="199"/>
      <c r="B763" s="200"/>
      <c r="C763" s="200"/>
      <c r="D763" s="200"/>
      <c r="E763" s="200"/>
      <c r="F763" s="200"/>
      <c r="G763" s="200"/>
    </row>
    <row r="764" spans="1:7" x14ac:dyDescent="0.2">
      <c r="A764" s="199"/>
      <c r="B764" s="200"/>
      <c r="C764" s="200"/>
      <c r="D764" s="200"/>
      <c r="E764" s="200"/>
      <c r="F764" s="200"/>
      <c r="G764" s="200"/>
    </row>
    <row r="765" spans="1:7" x14ac:dyDescent="0.2">
      <c r="A765" s="199"/>
      <c r="B765" s="200"/>
      <c r="C765" s="200"/>
      <c r="D765" s="200"/>
      <c r="E765" s="200"/>
      <c r="F765" s="200"/>
      <c r="G765" s="200"/>
    </row>
    <row r="766" spans="1:7" x14ac:dyDescent="0.2">
      <c r="A766" s="199"/>
      <c r="B766" s="200"/>
      <c r="C766" s="200"/>
      <c r="D766" s="200"/>
      <c r="E766" s="200"/>
      <c r="F766" s="200"/>
      <c r="G766" s="200"/>
    </row>
    <row r="767" spans="1:7" x14ac:dyDescent="0.2">
      <c r="A767" s="199"/>
      <c r="B767" s="200"/>
      <c r="C767" s="200"/>
      <c r="D767" s="200"/>
      <c r="E767" s="200"/>
      <c r="F767" s="200"/>
      <c r="G767" s="200"/>
    </row>
    <row r="768" spans="1:7" x14ac:dyDescent="0.2">
      <c r="A768" s="199"/>
      <c r="B768" s="200"/>
      <c r="C768" s="200"/>
      <c r="D768" s="200"/>
      <c r="E768" s="200"/>
      <c r="F768" s="200"/>
      <c r="G768" s="200"/>
    </row>
    <row r="769" spans="1:7" x14ac:dyDescent="0.2">
      <c r="A769" s="199"/>
      <c r="B769" s="200"/>
      <c r="C769" s="200"/>
      <c r="D769" s="200"/>
      <c r="E769" s="200"/>
      <c r="F769" s="200"/>
      <c r="G769" s="200"/>
    </row>
    <row r="770" spans="1:7" x14ac:dyDescent="0.2">
      <c r="A770" s="199"/>
      <c r="B770" s="200"/>
      <c r="C770" s="200"/>
      <c r="D770" s="200"/>
      <c r="E770" s="200"/>
      <c r="F770" s="200"/>
      <c r="G770" s="200"/>
    </row>
    <row r="771" spans="1:7" x14ac:dyDescent="0.2">
      <c r="A771" s="199"/>
      <c r="B771" s="200"/>
      <c r="C771" s="200"/>
      <c r="D771" s="200"/>
      <c r="E771" s="200"/>
      <c r="F771" s="200"/>
      <c r="G771" s="200"/>
    </row>
    <row r="772" spans="1:7" x14ac:dyDescent="0.2">
      <c r="A772" s="199"/>
      <c r="B772" s="200"/>
      <c r="C772" s="200"/>
      <c r="D772" s="200"/>
      <c r="E772" s="200"/>
      <c r="F772" s="200"/>
      <c r="G772" s="200"/>
    </row>
    <row r="773" spans="1:7" x14ac:dyDescent="0.2">
      <c r="A773" s="199"/>
      <c r="B773" s="200"/>
      <c r="C773" s="200"/>
      <c r="D773" s="200"/>
      <c r="E773" s="200"/>
      <c r="F773" s="200"/>
      <c r="G773" s="200"/>
    </row>
    <row r="774" spans="1:7" x14ac:dyDescent="0.2">
      <c r="A774" s="199"/>
      <c r="B774" s="200"/>
      <c r="C774" s="200"/>
      <c r="D774" s="200"/>
      <c r="E774" s="200"/>
      <c r="F774" s="200"/>
      <c r="G774" s="200"/>
    </row>
    <row r="775" spans="1:7" x14ac:dyDescent="0.2">
      <c r="A775" s="199"/>
      <c r="B775" s="200"/>
      <c r="C775" s="200"/>
      <c r="D775" s="200"/>
      <c r="E775" s="200"/>
      <c r="F775" s="200"/>
      <c r="G775" s="200"/>
    </row>
    <row r="776" spans="1:7" x14ac:dyDescent="0.2">
      <c r="A776" s="199"/>
      <c r="B776" s="200"/>
      <c r="C776" s="200"/>
      <c r="D776" s="200"/>
      <c r="E776" s="200"/>
      <c r="F776" s="200"/>
      <c r="G776" s="200"/>
    </row>
    <row r="777" spans="1:7" x14ac:dyDescent="0.2">
      <c r="A777" s="199"/>
      <c r="B777" s="200"/>
      <c r="C777" s="200"/>
      <c r="D777" s="200"/>
      <c r="E777" s="200"/>
      <c r="F777" s="200"/>
      <c r="G777" s="200"/>
    </row>
    <row r="778" spans="1:7" x14ac:dyDescent="0.2">
      <c r="A778" s="199"/>
      <c r="B778" s="200"/>
      <c r="C778" s="200"/>
      <c r="D778" s="200"/>
      <c r="E778" s="200"/>
      <c r="F778" s="200"/>
      <c r="G778" s="200"/>
    </row>
    <row r="779" spans="1:7" x14ac:dyDescent="0.2">
      <c r="A779" s="199"/>
      <c r="B779" s="200"/>
      <c r="C779" s="200"/>
      <c r="D779" s="200"/>
      <c r="E779" s="200"/>
      <c r="F779" s="200"/>
      <c r="G779" s="200"/>
    </row>
    <row r="780" spans="1:7" x14ac:dyDescent="0.2">
      <c r="A780" s="199"/>
      <c r="B780" s="200"/>
      <c r="C780" s="200"/>
      <c r="D780" s="200"/>
      <c r="E780" s="200"/>
      <c r="F780" s="200"/>
      <c r="G780" s="200"/>
    </row>
    <row r="781" spans="1:7" x14ac:dyDescent="0.2">
      <c r="A781" s="199"/>
      <c r="B781" s="200"/>
      <c r="C781" s="200"/>
      <c r="D781" s="200"/>
      <c r="E781" s="200"/>
      <c r="F781" s="200"/>
      <c r="G781" s="200"/>
    </row>
    <row r="782" spans="1:7" x14ac:dyDescent="0.2">
      <c r="A782" s="199"/>
      <c r="B782" s="200"/>
      <c r="C782" s="200"/>
      <c r="D782" s="200"/>
      <c r="E782" s="200"/>
      <c r="F782" s="200"/>
      <c r="G782" s="200"/>
    </row>
    <row r="783" spans="1:7" x14ac:dyDescent="0.2">
      <c r="A783" s="199"/>
      <c r="B783" s="200"/>
      <c r="C783" s="200"/>
      <c r="D783" s="200"/>
      <c r="E783" s="200"/>
      <c r="F783" s="200"/>
      <c r="G783" s="200"/>
    </row>
    <row r="784" spans="1:7" x14ac:dyDescent="0.2">
      <c r="A784" s="199"/>
      <c r="B784" s="200"/>
      <c r="C784" s="200"/>
      <c r="D784" s="200"/>
      <c r="E784" s="200"/>
      <c r="F784" s="200"/>
      <c r="G784" s="200"/>
    </row>
    <row r="785" spans="1:7" x14ac:dyDescent="0.2">
      <c r="A785" s="199"/>
      <c r="B785" s="200"/>
      <c r="C785" s="200"/>
      <c r="D785" s="200"/>
      <c r="E785" s="200"/>
      <c r="F785" s="200"/>
      <c r="G785" s="200"/>
    </row>
    <row r="786" spans="1:7" x14ac:dyDescent="0.2">
      <c r="A786" s="199"/>
      <c r="B786" s="200"/>
      <c r="C786" s="200"/>
      <c r="D786" s="200"/>
      <c r="E786" s="200"/>
      <c r="F786" s="200"/>
      <c r="G786" s="200"/>
    </row>
    <row r="787" spans="1:7" x14ac:dyDescent="0.2">
      <c r="A787" s="199"/>
      <c r="B787" s="200"/>
      <c r="C787" s="200"/>
      <c r="D787" s="200"/>
      <c r="E787" s="200"/>
      <c r="F787" s="200"/>
      <c r="G787" s="200"/>
    </row>
    <row r="788" spans="1:7" x14ac:dyDescent="0.2">
      <c r="A788" s="199"/>
      <c r="B788" s="200"/>
      <c r="C788" s="200"/>
      <c r="D788" s="200"/>
      <c r="E788" s="200"/>
      <c r="F788" s="200"/>
      <c r="G788" s="200"/>
    </row>
    <row r="789" spans="1:7" x14ac:dyDescent="0.2">
      <c r="A789" s="199"/>
      <c r="B789" s="200"/>
      <c r="C789" s="200"/>
      <c r="D789" s="200"/>
      <c r="E789" s="200"/>
      <c r="F789" s="200"/>
      <c r="G789" s="200"/>
    </row>
    <row r="790" spans="1:7" x14ac:dyDescent="0.2">
      <c r="A790" s="199"/>
      <c r="B790" s="200"/>
      <c r="C790" s="200"/>
      <c r="D790" s="200"/>
      <c r="E790" s="200"/>
      <c r="F790" s="200"/>
      <c r="G790" s="200"/>
    </row>
    <row r="791" spans="1:7" x14ac:dyDescent="0.2">
      <c r="A791" s="199"/>
      <c r="B791" s="200"/>
      <c r="C791" s="200"/>
      <c r="D791" s="200"/>
      <c r="E791" s="200"/>
      <c r="F791" s="200"/>
      <c r="G791" s="200"/>
    </row>
    <row r="792" spans="1:7" x14ac:dyDescent="0.2">
      <c r="A792" s="199"/>
      <c r="B792" s="200"/>
      <c r="C792" s="200"/>
      <c r="D792" s="200"/>
      <c r="E792" s="200"/>
      <c r="F792" s="200"/>
      <c r="G792" s="200"/>
    </row>
    <row r="793" spans="1:7" x14ac:dyDescent="0.2">
      <c r="A793" s="199"/>
      <c r="B793" s="200"/>
      <c r="C793" s="200"/>
      <c r="D793" s="200"/>
      <c r="E793" s="200"/>
      <c r="F793" s="200"/>
      <c r="G793" s="200"/>
    </row>
    <row r="794" spans="1:7" x14ac:dyDescent="0.2">
      <c r="A794" s="199"/>
      <c r="B794" s="200"/>
      <c r="C794" s="200"/>
      <c r="D794" s="200"/>
      <c r="E794" s="200"/>
      <c r="F794" s="200"/>
      <c r="G794" s="200"/>
    </row>
    <row r="795" spans="1:7" x14ac:dyDescent="0.2">
      <c r="A795" s="199"/>
      <c r="B795" s="200"/>
      <c r="C795" s="200"/>
      <c r="D795" s="200"/>
      <c r="E795" s="200"/>
      <c r="F795" s="200"/>
      <c r="G795" s="200"/>
    </row>
    <row r="796" spans="1:7" x14ac:dyDescent="0.2">
      <c r="A796" s="199"/>
      <c r="B796" s="200"/>
      <c r="C796" s="200"/>
      <c r="D796" s="200"/>
      <c r="E796" s="200"/>
      <c r="F796" s="200"/>
      <c r="G796" s="200"/>
    </row>
    <row r="797" spans="1:7" x14ac:dyDescent="0.2">
      <c r="A797" s="199"/>
      <c r="B797" s="200"/>
      <c r="C797" s="200"/>
      <c r="D797" s="200"/>
      <c r="E797" s="200"/>
      <c r="F797" s="200"/>
      <c r="G797" s="200"/>
    </row>
    <row r="798" spans="1:7" x14ac:dyDescent="0.2">
      <c r="A798" s="199"/>
      <c r="B798" s="200"/>
      <c r="C798" s="200"/>
      <c r="D798" s="200"/>
      <c r="E798" s="200"/>
      <c r="F798" s="200"/>
      <c r="G798" s="200"/>
    </row>
    <row r="799" spans="1:7" x14ac:dyDescent="0.2">
      <c r="A799" s="199"/>
      <c r="B799" s="200"/>
      <c r="C799" s="200"/>
      <c r="D799" s="200"/>
      <c r="E799" s="200"/>
      <c r="F799" s="200"/>
      <c r="G799" s="200"/>
    </row>
    <row r="800" spans="1:7" x14ac:dyDescent="0.2">
      <c r="A800" s="199"/>
      <c r="B800" s="200"/>
      <c r="C800" s="200"/>
      <c r="D800" s="200"/>
      <c r="E800" s="200"/>
      <c r="F800" s="200"/>
      <c r="G800" s="200"/>
    </row>
    <row r="801" spans="1:7" x14ac:dyDescent="0.2">
      <c r="A801" s="199"/>
      <c r="B801" s="200"/>
      <c r="C801" s="200"/>
      <c r="D801" s="200"/>
      <c r="E801" s="200"/>
      <c r="F801" s="200"/>
      <c r="G801" s="200"/>
    </row>
    <row r="802" spans="1:7" x14ac:dyDescent="0.2">
      <c r="A802" s="199"/>
      <c r="B802" s="200"/>
      <c r="C802" s="200"/>
      <c r="D802" s="200"/>
      <c r="E802" s="200"/>
      <c r="F802" s="200"/>
      <c r="G802" s="200"/>
    </row>
    <row r="803" spans="1:7" x14ac:dyDescent="0.2">
      <c r="A803" s="199"/>
      <c r="B803" s="200"/>
      <c r="C803" s="200"/>
      <c r="D803" s="200"/>
      <c r="E803" s="200"/>
      <c r="F803" s="200"/>
      <c r="G803" s="200"/>
    </row>
    <row r="804" spans="1:7" x14ac:dyDescent="0.2">
      <c r="A804" s="199"/>
      <c r="B804" s="200"/>
      <c r="C804" s="200"/>
      <c r="D804" s="200"/>
      <c r="E804" s="200"/>
      <c r="F804" s="200"/>
      <c r="G804" s="200"/>
    </row>
    <row r="805" spans="1:7" x14ac:dyDescent="0.2">
      <c r="A805" s="199"/>
      <c r="B805" s="200"/>
      <c r="C805" s="200"/>
      <c r="D805" s="200"/>
      <c r="E805" s="200"/>
      <c r="F805" s="200"/>
      <c r="G805" s="200"/>
    </row>
    <row r="806" spans="1:7" x14ac:dyDescent="0.2">
      <c r="A806" s="199"/>
      <c r="B806" s="200"/>
      <c r="C806" s="200"/>
      <c r="D806" s="200"/>
      <c r="E806" s="200"/>
      <c r="F806" s="200"/>
      <c r="G806" s="200"/>
    </row>
    <row r="807" spans="1:7" x14ac:dyDescent="0.2">
      <c r="A807" s="199"/>
      <c r="B807" s="200"/>
      <c r="C807" s="200"/>
      <c r="D807" s="200"/>
      <c r="E807" s="200"/>
      <c r="F807" s="200"/>
      <c r="G807" s="200"/>
    </row>
    <row r="808" spans="1:7" x14ac:dyDescent="0.2">
      <c r="A808" s="199"/>
      <c r="B808" s="200"/>
      <c r="C808" s="200"/>
      <c r="D808" s="200"/>
      <c r="E808" s="200"/>
      <c r="F808" s="200"/>
      <c r="G808" s="200"/>
    </row>
    <row r="809" spans="1:7" x14ac:dyDescent="0.2">
      <c r="A809" s="199"/>
      <c r="B809" s="200"/>
      <c r="C809" s="200"/>
      <c r="D809" s="200"/>
      <c r="E809" s="200"/>
      <c r="F809" s="200"/>
      <c r="G809" s="200"/>
    </row>
    <row r="810" spans="1:7" x14ac:dyDescent="0.2">
      <c r="A810" s="199"/>
      <c r="B810" s="200"/>
      <c r="C810" s="200"/>
      <c r="D810" s="200"/>
      <c r="E810" s="200"/>
      <c r="F810" s="200"/>
      <c r="G810" s="200"/>
    </row>
    <row r="811" spans="1:7" x14ac:dyDescent="0.2">
      <c r="A811" s="199"/>
      <c r="B811" s="200"/>
      <c r="C811" s="200"/>
      <c r="D811" s="200"/>
      <c r="E811" s="200"/>
      <c r="F811" s="200"/>
      <c r="G811" s="200"/>
    </row>
    <row r="812" spans="1:7" x14ac:dyDescent="0.2">
      <c r="A812" s="199"/>
      <c r="B812" s="200"/>
      <c r="C812" s="200"/>
      <c r="D812" s="200"/>
      <c r="E812" s="200"/>
      <c r="F812" s="200"/>
      <c r="G812" s="200"/>
    </row>
    <row r="813" spans="1:7" x14ac:dyDescent="0.2">
      <c r="A813" s="199"/>
      <c r="B813" s="200"/>
      <c r="C813" s="200"/>
      <c r="D813" s="200"/>
      <c r="E813" s="200"/>
      <c r="F813" s="200"/>
      <c r="G813" s="200"/>
    </row>
    <row r="814" spans="1:7" x14ac:dyDescent="0.2">
      <c r="A814" s="199"/>
      <c r="B814" s="200"/>
      <c r="C814" s="200"/>
      <c r="D814" s="200"/>
      <c r="E814" s="200"/>
      <c r="F814" s="200"/>
      <c r="G814" s="200"/>
    </row>
    <row r="815" spans="1:7" x14ac:dyDescent="0.2">
      <c r="A815" s="199"/>
      <c r="B815" s="200"/>
      <c r="C815" s="200"/>
      <c r="D815" s="200"/>
      <c r="E815" s="200"/>
      <c r="F815" s="200"/>
      <c r="G815" s="200"/>
    </row>
    <row r="816" spans="1:7" x14ac:dyDescent="0.2">
      <c r="A816" s="199"/>
      <c r="B816" s="200"/>
      <c r="C816" s="200"/>
      <c r="D816" s="200"/>
      <c r="E816" s="200"/>
      <c r="F816" s="200"/>
      <c r="G816" s="200"/>
    </row>
    <row r="817" spans="1:7" x14ac:dyDescent="0.2">
      <c r="A817" s="199"/>
      <c r="B817" s="200"/>
      <c r="C817" s="200"/>
      <c r="D817" s="200"/>
      <c r="E817" s="200"/>
      <c r="F817" s="200"/>
      <c r="G817" s="200"/>
    </row>
    <row r="818" spans="1:7" x14ac:dyDescent="0.2">
      <c r="A818" s="199"/>
      <c r="B818" s="200"/>
      <c r="C818" s="200"/>
      <c r="D818" s="200"/>
      <c r="E818" s="200"/>
      <c r="F818" s="200"/>
      <c r="G818" s="200"/>
    </row>
    <row r="819" spans="1:7" x14ac:dyDescent="0.2">
      <c r="A819" s="199"/>
      <c r="B819" s="200"/>
      <c r="C819" s="200"/>
      <c r="D819" s="200"/>
      <c r="E819" s="200"/>
      <c r="F819" s="200"/>
      <c r="G819" s="200"/>
    </row>
    <row r="820" spans="1:7" x14ac:dyDescent="0.2">
      <c r="A820" s="199"/>
      <c r="B820" s="200"/>
      <c r="C820" s="200"/>
      <c r="D820" s="200"/>
      <c r="E820" s="200"/>
      <c r="F820" s="200"/>
      <c r="G820" s="200"/>
    </row>
    <row r="821" spans="1:7" x14ac:dyDescent="0.2">
      <c r="A821" s="199"/>
      <c r="B821" s="200"/>
      <c r="C821" s="200"/>
      <c r="D821" s="200"/>
      <c r="E821" s="200"/>
      <c r="F821" s="200"/>
      <c r="G821" s="200"/>
    </row>
    <row r="822" spans="1:7" x14ac:dyDescent="0.2">
      <c r="A822" s="199"/>
      <c r="B822" s="200"/>
      <c r="C822" s="200"/>
      <c r="D822" s="200"/>
      <c r="E822" s="200"/>
      <c r="F822" s="200"/>
      <c r="G822" s="200"/>
    </row>
    <row r="823" spans="1:7" x14ac:dyDescent="0.2">
      <c r="A823" s="199"/>
      <c r="B823" s="200"/>
      <c r="C823" s="200"/>
      <c r="D823" s="200"/>
      <c r="E823" s="200"/>
      <c r="F823" s="200"/>
      <c r="G823" s="200"/>
    </row>
    <row r="824" spans="1:7" x14ac:dyDescent="0.2">
      <c r="A824" s="199"/>
      <c r="B824" s="200"/>
      <c r="C824" s="200"/>
      <c r="D824" s="200"/>
      <c r="E824" s="200"/>
      <c r="F824" s="200"/>
      <c r="G824" s="200"/>
    </row>
    <row r="825" spans="1:7" x14ac:dyDescent="0.2">
      <c r="A825" s="199"/>
      <c r="B825" s="200"/>
      <c r="C825" s="200"/>
      <c r="D825" s="200"/>
      <c r="E825" s="200"/>
      <c r="F825" s="200"/>
      <c r="G825" s="200"/>
    </row>
    <row r="826" spans="1:7" x14ac:dyDescent="0.2">
      <c r="A826" s="199"/>
      <c r="B826" s="200"/>
      <c r="C826" s="200"/>
      <c r="D826" s="200"/>
      <c r="E826" s="200"/>
      <c r="F826" s="200"/>
      <c r="G826" s="200"/>
    </row>
    <row r="827" spans="1:7" x14ac:dyDescent="0.2">
      <c r="A827" s="199"/>
      <c r="B827" s="200"/>
      <c r="C827" s="200"/>
      <c r="D827" s="200"/>
      <c r="E827" s="200"/>
      <c r="F827" s="200"/>
      <c r="G827" s="200"/>
    </row>
    <row r="828" spans="1:7" x14ac:dyDescent="0.2">
      <c r="A828" s="199"/>
      <c r="B828" s="200"/>
      <c r="C828" s="200"/>
      <c r="D828" s="200"/>
      <c r="E828" s="200"/>
      <c r="F828" s="200"/>
      <c r="G828" s="200"/>
    </row>
    <row r="829" spans="1:7" x14ac:dyDescent="0.2">
      <c r="A829" s="199"/>
      <c r="B829" s="200"/>
      <c r="C829" s="200"/>
      <c r="D829" s="200"/>
      <c r="E829" s="200"/>
      <c r="F829" s="200"/>
      <c r="G829" s="200"/>
    </row>
    <row r="830" spans="1:7" x14ac:dyDescent="0.2">
      <c r="A830" s="199"/>
      <c r="B830" s="200"/>
      <c r="C830" s="200"/>
      <c r="D830" s="200"/>
      <c r="E830" s="200"/>
      <c r="F830" s="200"/>
      <c r="G830" s="200"/>
    </row>
    <row r="831" spans="1:7" x14ac:dyDescent="0.2">
      <c r="A831" s="199"/>
      <c r="B831" s="200"/>
      <c r="C831" s="200"/>
      <c r="D831" s="200"/>
      <c r="E831" s="200"/>
      <c r="F831" s="200"/>
      <c r="G831" s="200"/>
    </row>
    <row r="832" spans="1:7" x14ac:dyDescent="0.2">
      <c r="A832" s="199"/>
      <c r="B832" s="200"/>
      <c r="C832" s="200"/>
      <c r="D832" s="200"/>
      <c r="E832" s="200"/>
      <c r="F832" s="200"/>
      <c r="G832" s="200"/>
    </row>
    <row r="833" spans="1:7" x14ac:dyDescent="0.2">
      <c r="A833" s="199"/>
      <c r="B833" s="200"/>
      <c r="C833" s="200"/>
      <c r="D833" s="200"/>
      <c r="E833" s="200"/>
      <c r="F833" s="200"/>
      <c r="G833" s="200"/>
    </row>
    <row r="834" spans="1:7" x14ac:dyDescent="0.2">
      <c r="A834" s="199"/>
      <c r="B834" s="200"/>
      <c r="C834" s="200"/>
      <c r="D834" s="200"/>
      <c r="E834" s="200"/>
      <c r="F834" s="200"/>
      <c r="G834" s="200"/>
    </row>
    <row r="835" spans="1:7" x14ac:dyDescent="0.2">
      <c r="A835" s="199"/>
      <c r="B835" s="200"/>
      <c r="C835" s="200"/>
      <c r="D835" s="200"/>
      <c r="E835" s="200"/>
      <c r="F835" s="200"/>
      <c r="G835" s="200"/>
    </row>
    <row r="836" spans="1:7" x14ac:dyDescent="0.2">
      <c r="A836" s="199"/>
      <c r="B836" s="200"/>
      <c r="C836" s="200"/>
      <c r="D836" s="200"/>
      <c r="E836" s="200"/>
      <c r="F836" s="200"/>
      <c r="G836" s="200"/>
    </row>
    <row r="837" spans="1:7" x14ac:dyDescent="0.2">
      <c r="A837" s="199"/>
      <c r="B837" s="200"/>
      <c r="C837" s="200"/>
      <c r="D837" s="200"/>
      <c r="E837" s="200"/>
      <c r="F837" s="200"/>
      <c r="G837" s="200"/>
    </row>
    <row r="838" spans="1:7" x14ac:dyDescent="0.2">
      <c r="A838" s="199"/>
      <c r="B838" s="200"/>
      <c r="C838" s="200"/>
      <c r="D838" s="200"/>
      <c r="E838" s="200"/>
      <c r="F838" s="200"/>
      <c r="G838" s="200"/>
    </row>
    <row r="839" spans="1:7" x14ac:dyDescent="0.2">
      <c r="A839" s="199"/>
      <c r="B839" s="200"/>
      <c r="C839" s="200"/>
      <c r="D839" s="200"/>
      <c r="E839" s="200"/>
      <c r="F839" s="200"/>
      <c r="G839" s="200"/>
    </row>
    <row r="840" spans="1:7" x14ac:dyDescent="0.2">
      <c r="A840" s="199"/>
      <c r="B840" s="200"/>
      <c r="C840" s="200"/>
      <c r="D840" s="200"/>
      <c r="E840" s="200"/>
      <c r="F840" s="200"/>
      <c r="G840" s="200"/>
    </row>
    <row r="841" spans="1:7" x14ac:dyDescent="0.2">
      <c r="A841" s="199"/>
      <c r="B841" s="200"/>
      <c r="C841" s="200"/>
      <c r="D841" s="200"/>
      <c r="E841" s="200"/>
      <c r="F841" s="200"/>
      <c r="G841" s="200"/>
    </row>
    <row r="842" spans="1:7" x14ac:dyDescent="0.2">
      <c r="A842" s="199"/>
      <c r="B842" s="200"/>
      <c r="C842" s="200"/>
      <c r="D842" s="200"/>
      <c r="E842" s="200"/>
      <c r="F842" s="200"/>
      <c r="G842" s="200"/>
    </row>
    <row r="843" spans="1:7" x14ac:dyDescent="0.2">
      <c r="A843" s="199"/>
      <c r="B843" s="200"/>
      <c r="C843" s="200"/>
      <c r="D843" s="200"/>
      <c r="E843" s="200"/>
      <c r="F843" s="200"/>
      <c r="G843" s="200"/>
    </row>
    <row r="844" spans="1:7" x14ac:dyDescent="0.2">
      <c r="A844" s="199"/>
      <c r="B844" s="200"/>
      <c r="C844" s="200"/>
      <c r="D844" s="200"/>
      <c r="E844" s="200"/>
      <c r="F844" s="200"/>
      <c r="G844" s="200"/>
    </row>
    <row r="845" spans="1:7" x14ac:dyDescent="0.2">
      <c r="A845" s="199"/>
      <c r="B845" s="200"/>
      <c r="C845" s="200"/>
      <c r="D845" s="200"/>
      <c r="E845" s="200"/>
      <c r="F845" s="200"/>
      <c r="G845" s="200"/>
    </row>
    <row r="846" spans="1:7" x14ac:dyDescent="0.2">
      <c r="A846" s="199"/>
      <c r="B846" s="200"/>
      <c r="C846" s="200"/>
      <c r="D846" s="200"/>
      <c r="E846" s="200"/>
      <c r="F846" s="200"/>
      <c r="G846" s="200"/>
    </row>
    <row r="847" spans="1:7" x14ac:dyDescent="0.2">
      <c r="A847" s="199"/>
      <c r="B847" s="200"/>
      <c r="C847" s="200"/>
      <c r="D847" s="200"/>
      <c r="E847" s="200"/>
      <c r="F847" s="200"/>
      <c r="G847" s="200"/>
    </row>
    <row r="848" spans="1:7" x14ac:dyDescent="0.2">
      <c r="A848" s="199"/>
      <c r="B848" s="200"/>
      <c r="C848" s="200"/>
      <c r="D848" s="200"/>
      <c r="E848" s="200"/>
      <c r="F848" s="200"/>
      <c r="G848" s="200"/>
    </row>
    <row r="849" spans="1:7" x14ac:dyDescent="0.2">
      <c r="A849" s="199"/>
      <c r="B849" s="200"/>
      <c r="C849" s="200"/>
      <c r="D849" s="200"/>
      <c r="E849" s="200"/>
      <c r="F849" s="200"/>
      <c r="G849" s="200"/>
    </row>
    <row r="850" spans="1:7" x14ac:dyDescent="0.2">
      <c r="A850" s="199"/>
      <c r="B850" s="200"/>
      <c r="C850" s="200"/>
      <c r="D850" s="200"/>
      <c r="E850" s="200"/>
      <c r="F850" s="200"/>
      <c r="G850" s="200"/>
    </row>
    <row r="851" spans="1:7" x14ac:dyDescent="0.2">
      <c r="A851" s="199"/>
      <c r="B851" s="200"/>
      <c r="C851" s="200"/>
      <c r="D851" s="200"/>
      <c r="E851" s="200"/>
      <c r="F851" s="200"/>
      <c r="G851" s="200"/>
    </row>
    <row r="852" spans="1:7" x14ac:dyDescent="0.2">
      <c r="A852" s="199"/>
      <c r="B852" s="200"/>
      <c r="C852" s="200"/>
      <c r="D852" s="200"/>
      <c r="E852" s="200"/>
      <c r="F852" s="200"/>
      <c r="G852" s="200"/>
    </row>
    <row r="853" spans="1:7" x14ac:dyDescent="0.2">
      <c r="A853" s="199"/>
      <c r="B853" s="200"/>
      <c r="C853" s="200"/>
      <c r="D853" s="200"/>
      <c r="E853" s="200"/>
      <c r="F853" s="200"/>
      <c r="G853" s="200"/>
    </row>
    <row r="854" spans="1:7" x14ac:dyDescent="0.2">
      <c r="A854" s="199"/>
      <c r="B854" s="200"/>
      <c r="C854" s="200"/>
      <c r="D854" s="200"/>
      <c r="E854" s="200"/>
      <c r="F854" s="200"/>
      <c r="G854" s="200"/>
    </row>
    <row r="855" spans="1:7" x14ac:dyDescent="0.2">
      <c r="A855" s="199"/>
      <c r="B855" s="200"/>
      <c r="C855" s="200"/>
      <c r="D855" s="200"/>
      <c r="E855" s="200"/>
      <c r="F855" s="200"/>
      <c r="G855" s="200"/>
    </row>
    <row r="856" spans="1:7" x14ac:dyDescent="0.2">
      <c r="A856" s="199"/>
      <c r="B856" s="200"/>
      <c r="C856" s="200"/>
      <c r="D856" s="200"/>
      <c r="E856" s="200"/>
      <c r="F856" s="200"/>
      <c r="G856" s="200"/>
    </row>
    <row r="857" spans="1:7" x14ac:dyDescent="0.2">
      <c r="A857" s="199"/>
      <c r="B857" s="200"/>
      <c r="C857" s="200"/>
      <c r="D857" s="200"/>
      <c r="E857" s="200"/>
      <c r="F857" s="200"/>
      <c r="G857" s="200"/>
    </row>
    <row r="858" spans="1:7" x14ac:dyDescent="0.2">
      <c r="A858" s="199"/>
      <c r="B858" s="200"/>
      <c r="C858" s="200"/>
      <c r="D858" s="200"/>
      <c r="E858" s="200"/>
      <c r="F858" s="200"/>
      <c r="G858" s="200"/>
    </row>
    <row r="859" spans="1:7" x14ac:dyDescent="0.2">
      <c r="A859" s="199"/>
      <c r="B859" s="200"/>
      <c r="C859" s="200"/>
      <c r="D859" s="200"/>
      <c r="E859" s="200"/>
      <c r="F859" s="200"/>
      <c r="G859" s="200"/>
    </row>
    <row r="860" spans="1:7" x14ac:dyDescent="0.2">
      <c r="A860" s="199"/>
      <c r="B860" s="200"/>
      <c r="C860" s="200"/>
      <c r="D860" s="200"/>
      <c r="E860" s="200"/>
      <c r="F860" s="200"/>
      <c r="G860" s="200"/>
    </row>
    <row r="861" spans="1:7" x14ac:dyDescent="0.2">
      <c r="A861" s="199"/>
      <c r="B861" s="200"/>
      <c r="C861" s="200"/>
      <c r="D861" s="200"/>
      <c r="E861" s="200"/>
      <c r="F861" s="200"/>
      <c r="G861" s="200"/>
    </row>
    <row r="862" spans="1:7" x14ac:dyDescent="0.2">
      <c r="A862" s="199"/>
      <c r="B862" s="200"/>
      <c r="C862" s="200"/>
      <c r="D862" s="200"/>
      <c r="E862" s="200"/>
      <c r="F862" s="200"/>
      <c r="G862" s="200"/>
    </row>
    <row r="863" spans="1:7" x14ac:dyDescent="0.2">
      <c r="A863" s="199"/>
      <c r="B863" s="200"/>
      <c r="C863" s="200"/>
      <c r="D863" s="200"/>
      <c r="E863" s="200"/>
      <c r="F863" s="200"/>
      <c r="G863" s="200"/>
    </row>
    <row r="864" spans="1:7" x14ac:dyDescent="0.2">
      <c r="A864" s="199"/>
      <c r="B864" s="200"/>
      <c r="C864" s="200"/>
      <c r="D864" s="200"/>
      <c r="E864" s="200"/>
      <c r="F864" s="200"/>
      <c r="G864" s="200"/>
    </row>
    <row r="865" spans="1:7" x14ac:dyDescent="0.2">
      <c r="A865" s="199"/>
      <c r="B865" s="200"/>
      <c r="C865" s="200"/>
      <c r="D865" s="200"/>
      <c r="E865" s="200"/>
      <c r="F865" s="200"/>
      <c r="G865" s="200"/>
    </row>
    <row r="866" spans="1:7" x14ac:dyDescent="0.2">
      <c r="A866" s="199"/>
      <c r="B866" s="200"/>
      <c r="C866" s="200"/>
      <c r="D866" s="200"/>
      <c r="E866" s="200"/>
      <c r="F866" s="200"/>
      <c r="G866" s="200"/>
    </row>
    <row r="867" spans="1:7" x14ac:dyDescent="0.2">
      <c r="A867" s="199"/>
      <c r="B867" s="200"/>
      <c r="C867" s="200"/>
      <c r="D867" s="200"/>
      <c r="E867" s="200"/>
      <c r="F867" s="200"/>
      <c r="G867" s="200"/>
    </row>
    <row r="868" spans="1:7" x14ac:dyDescent="0.2">
      <c r="A868" s="199"/>
      <c r="B868" s="200"/>
      <c r="C868" s="200"/>
      <c r="D868" s="200"/>
      <c r="E868" s="200"/>
      <c r="F868" s="200"/>
      <c r="G868" s="200"/>
    </row>
    <row r="869" spans="1:7" x14ac:dyDescent="0.2">
      <c r="A869" s="199"/>
      <c r="B869" s="200"/>
      <c r="C869" s="200"/>
      <c r="D869" s="200"/>
      <c r="E869" s="200"/>
      <c r="F869" s="200"/>
      <c r="G869" s="200"/>
    </row>
    <row r="870" spans="1:7" x14ac:dyDescent="0.2">
      <c r="A870" s="199"/>
      <c r="B870" s="200"/>
      <c r="C870" s="200"/>
      <c r="D870" s="200"/>
      <c r="E870" s="200"/>
      <c r="F870" s="200"/>
      <c r="G870" s="200"/>
    </row>
    <row r="871" spans="1:7" x14ac:dyDescent="0.2">
      <c r="A871" s="199"/>
      <c r="B871" s="200"/>
      <c r="C871" s="200"/>
      <c r="D871" s="200"/>
      <c r="E871" s="200"/>
      <c r="F871" s="200"/>
      <c r="G871" s="200"/>
    </row>
    <row r="872" spans="1:7" x14ac:dyDescent="0.2">
      <c r="A872" s="199"/>
      <c r="B872" s="200"/>
      <c r="C872" s="200"/>
      <c r="D872" s="200"/>
      <c r="E872" s="200"/>
      <c r="F872" s="200"/>
      <c r="G872" s="200"/>
    </row>
    <row r="873" spans="1:7" x14ac:dyDescent="0.2">
      <c r="A873" s="199"/>
      <c r="B873" s="200"/>
      <c r="C873" s="200"/>
      <c r="D873" s="200"/>
      <c r="E873" s="200"/>
      <c r="F873" s="200"/>
      <c r="G873" s="200"/>
    </row>
    <row r="874" spans="1:7" x14ac:dyDescent="0.2">
      <c r="A874" s="199"/>
      <c r="B874" s="200"/>
      <c r="C874" s="200"/>
      <c r="D874" s="200"/>
      <c r="E874" s="200"/>
      <c r="F874" s="200"/>
      <c r="G874" s="200"/>
    </row>
    <row r="875" spans="1:7" x14ac:dyDescent="0.2">
      <c r="A875" s="199"/>
      <c r="B875" s="200"/>
      <c r="C875" s="200"/>
      <c r="D875" s="200"/>
      <c r="E875" s="200"/>
      <c r="F875" s="200"/>
      <c r="G875" s="200"/>
    </row>
    <row r="876" spans="1:7" x14ac:dyDescent="0.2">
      <c r="A876" s="199"/>
      <c r="B876" s="200"/>
      <c r="C876" s="200"/>
      <c r="D876" s="200"/>
      <c r="E876" s="200"/>
      <c r="F876" s="200"/>
      <c r="G876" s="200"/>
    </row>
    <row r="877" spans="1:7" x14ac:dyDescent="0.2">
      <c r="A877" s="199"/>
      <c r="B877" s="200"/>
      <c r="C877" s="200"/>
      <c r="D877" s="200"/>
      <c r="E877" s="200"/>
      <c r="F877" s="200"/>
      <c r="G877" s="200"/>
    </row>
    <row r="878" spans="1:7" x14ac:dyDescent="0.2">
      <c r="A878" s="199"/>
      <c r="B878" s="200"/>
      <c r="C878" s="200"/>
      <c r="D878" s="200"/>
      <c r="E878" s="200"/>
      <c r="F878" s="200"/>
      <c r="G878" s="200"/>
    </row>
    <row r="879" spans="1:7" x14ac:dyDescent="0.2">
      <c r="A879" s="199"/>
      <c r="B879" s="200"/>
      <c r="C879" s="200"/>
      <c r="D879" s="200"/>
      <c r="E879" s="200"/>
      <c r="F879" s="200"/>
      <c r="G879" s="200"/>
    </row>
    <row r="880" spans="1:7" x14ac:dyDescent="0.2">
      <c r="A880" s="199"/>
      <c r="B880" s="200"/>
      <c r="C880" s="200"/>
      <c r="D880" s="200"/>
      <c r="E880" s="200"/>
      <c r="F880" s="200"/>
      <c r="G880" s="200"/>
    </row>
    <row r="881" spans="1:7" x14ac:dyDescent="0.2">
      <c r="A881" s="199"/>
      <c r="B881" s="200"/>
      <c r="C881" s="200"/>
      <c r="D881" s="200"/>
      <c r="E881" s="200"/>
      <c r="F881" s="200"/>
      <c r="G881" s="200"/>
    </row>
    <row r="882" spans="1:7" x14ac:dyDescent="0.2">
      <c r="A882" s="199"/>
      <c r="B882" s="200"/>
      <c r="C882" s="200"/>
      <c r="D882" s="200"/>
      <c r="E882" s="200"/>
      <c r="F882" s="200"/>
      <c r="G882" s="200"/>
    </row>
    <row r="883" spans="1:7" x14ac:dyDescent="0.2">
      <c r="A883" s="199"/>
      <c r="B883" s="200"/>
      <c r="C883" s="200"/>
      <c r="D883" s="200"/>
      <c r="E883" s="200"/>
      <c r="F883" s="200"/>
      <c r="G883" s="200"/>
    </row>
    <row r="884" spans="1:7" x14ac:dyDescent="0.2">
      <c r="A884" s="199"/>
      <c r="B884" s="200"/>
      <c r="C884" s="200"/>
      <c r="D884" s="200"/>
      <c r="E884" s="200"/>
      <c r="F884" s="200"/>
      <c r="G884" s="200"/>
    </row>
    <row r="885" spans="1:7" x14ac:dyDescent="0.2">
      <c r="A885" s="199"/>
      <c r="B885" s="200"/>
      <c r="C885" s="200"/>
      <c r="D885" s="200"/>
      <c r="E885" s="200"/>
      <c r="F885" s="200"/>
      <c r="G885" s="200"/>
    </row>
    <row r="886" spans="1:7" x14ac:dyDescent="0.2">
      <c r="A886" s="199"/>
      <c r="B886" s="200"/>
      <c r="C886" s="200"/>
      <c r="D886" s="200"/>
      <c r="E886" s="200"/>
      <c r="F886" s="200"/>
      <c r="G886" s="200"/>
    </row>
    <row r="887" spans="1:7" x14ac:dyDescent="0.2">
      <c r="A887" s="199"/>
      <c r="B887" s="200"/>
      <c r="C887" s="200"/>
      <c r="D887" s="200"/>
      <c r="E887" s="200"/>
      <c r="F887" s="200"/>
      <c r="G887" s="200"/>
    </row>
    <row r="888" spans="1:7" x14ac:dyDescent="0.2">
      <c r="A888" s="199"/>
      <c r="B888" s="200"/>
      <c r="C888" s="200"/>
      <c r="D888" s="200"/>
      <c r="E888" s="200"/>
      <c r="F888" s="200"/>
      <c r="G888" s="200"/>
    </row>
    <row r="889" spans="1:7" x14ac:dyDescent="0.2">
      <c r="A889" s="199"/>
      <c r="B889" s="200"/>
      <c r="C889" s="200"/>
      <c r="D889" s="200"/>
      <c r="E889" s="200"/>
      <c r="F889" s="200"/>
      <c r="G889" s="200"/>
    </row>
    <row r="890" spans="1:7" x14ac:dyDescent="0.2">
      <c r="A890" s="199"/>
      <c r="B890" s="200"/>
      <c r="C890" s="200"/>
      <c r="D890" s="200"/>
      <c r="E890" s="200"/>
      <c r="F890" s="200"/>
      <c r="G890" s="200"/>
    </row>
    <row r="891" spans="1:7" x14ac:dyDescent="0.2">
      <c r="A891" s="199"/>
      <c r="B891" s="200"/>
      <c r="C891" s="200"/>
      <c r="D891" s="200"/>
      <c r="E891" s="200"/>
      <c r="F891" s="200"/>
      <c r="G891" s="200"/>
    </row>
    <row r="892" spans="1:7" x14ac:dyDescent="0.2">
      <c r="A892" s="199"/>
      <c r="B892" s="200"/>
      <c r="C892" s="200"/>
      <c r="D892" s="200"/>
      <c r="E892" s="200"/>
      <c r="F892" s="200"/>
      <c r="G892" s="200"/>
    </row>
    <row r="893" spans="1:7" x14ac:dyDescent="0.2">
      <c r="A893" s="199"/>
      <c r="B893" s="200"/>
      <c r="C893" s="200"/>
      <c r="D893" s="200"/>
      <c r="E893" s="200"/>
      <c r="F893" s="200"/>
      <c r="G893" s="200"/>
    </row>
    <row r="894" spans="1:7" x14ac:dyDescent="0.2">
      <c r="A894" s="199"/>
      <c r="B894" s="200"/>
      <c r="C894" s="200"/>
      <c r="D894" s="200"/>
      <c r="E894" s="200"/>
      <c r="F894" s="200"/>
      <c r="G894" s="200"/>
    </row>
    <row r="895" spans="1:7" x14ac:dyDescent="0.2">
      <c r="A895" s="199"/>
      <c r="B895" s="200"/>
      <c r="C895" s="200"/>
      <c r="D895" s="200"/>
      <c r="E895" s="200"/>
      <c r="F895" s="200"/>
      <c r="G895" s="200"/>
    </row>
    <row r="896" spans="1:7" x14ac:dyDescent="0.2">
      <c r="A896" s="199"/>
      <c r="B896" s="200"/>
      <c r="C896" s="200"/>
      <c r="D896" s="200"/>
      <c r="E896" s="200"/>
      <c r="F896" s="200"/>
      <c r="G896" s="200"/>
    </row>
    <row r="897" spans="1:7" x14ac:dyDescent="0.2">
      <c r="A897" s="199"/>
      <c r="B897" s="200"/>
      <c r="C897" s="200"/>
      <c r="D897" s="200"/>
      <c r="E897" s="200"/>
      <c r="F897" s="200"/>
      <c r="G897" s="200"/>
    </row>
    <row r="898" spans="1:7" x14ac:dyDescent="0.2">
      <c r="A898" s="199"/>
      <c r="B898" s="200"/>
      <c r="C898" s="200"/>
      <c r="D898" s="200"/>
      <c r="E898" s="200"/>
      <c r="F898" s="200"/>
      <c r="G898" s="200"/>
    </row>
    <row r="899" spans="1:7" x14ac:dyDescent="0.2">
      <c r="A899" s="199"/>
      <c r="B899" s="200"/>
      <c r="C899" s="200"/>
      <c r="D899" s="200"/>
      <c r="E899" s="200"/>
      <c r="F899" s="200"/>
      <c r="G899" s="200"/>
    </row>
    <row r="900" spans="1:7" x14ac:dyDescent="0.2">
      <c r="A900" s="199"/>
      <c r="B900" s="200"/>
      <c r="C900" s="200"/>
      <c r="D900" s="200"/>
      <c r="E900" s="200"/>
      <c r="F900" s="200"/>
      <c r="G900" s="200"/>
    </row>
    <row r="901" spans="1:7" x14ac:dyDescent="0.2">
      <c r="A901" s="199"/>
      <c r="B901" s="200"/>
      <c r="C901" s="200"/>
      <c r="D901" s="200"/>
      <c r="E901" s="200"/>
      <c r="F901" s="200"/>
      <c r="G901" s="200"/>
    </row>
    <row r="902" spans="1:7" x14ac:dyDescent="0.2">
      <c r="A902" s="199"/>
      <c r="B902" s="200"/>
      <c r="C902" s="200"/>
      <c r="D902" s="200"/>
      <c r="E902" s="200"/>
      <c r="F902" s="200"/>
      <c r="G902" s="200"/>
    </row>
    <row r="903" spans="1:7" x14ac:dyDescent="0.2">
      <c r="A903" s="199"/>
      <c r="B903" s="200"/>
      <c r="C903" s="200"/>
      <c r="D903" s="200"/>
      <c r="E903" s="200"/>
      <c r="F903" s="200"/>
      <c r="G903" s="200"/>
    </row>
    <row r="904" spans="1:7" x14ac:dyDescent="0.2">
      <c r="A904" s="199"/>
      <c r="B904" s="200"/>
      <c r="C904" s="200"/>
      <c r="D904" s="200"/>
      <c r="E904" s="200"/>
      <c r="F904" s="200"/>
      <c r="G904" s="200"/>
    </row>
    <row r="905" spans="1:7" x14ac:dyDescent="0.2">
      <c r="A905" s="199"/>
      <c r="B905" s="200"/>
      <c r="C905" s="200"/>
      <c r="D905" s="200"/>
      <c r="E905" s="200"/>
      <c r="F905" s="200"/>
      <c r="G905" s="200"/>
    </row>
    <row r="906" spans="1:7" x14ac:dyDescent="0.2">
      <c r="A906" s="199"/>
      <c r="B906" s="200"/>
      <c r="C906" s="200"/>
      <c r="D906" s="200"/>
      <c r="E906" s="200"/>
      <c r="F906" s="200"/>
      <c r="G906" s="200"/>
    </row>
    <row r="907" spans="1:7" x14ac:dyDescent="0.2">
      <c r="A907" s="199"/>
      <c r="B907" s="200"/>
      <c r="C907" s="200"/>
      <c r="D907" s="200"/>
      <c r="E907" s="200"/>
      <c r="F907" s="200"/>
      <c r="G907" s="200"/>
    </row>
    <row r="908" spans="1:7" x14ac:dyDescent="0.2">
      <c r="A908" s="199"/>
      <c r="B908" s="200"/>
      <c r="C908" s="200"/>
      <c r="D908" s="200"/>
      <c r="E908" s="200"/>
      <c r="F908" s="200"/>
      <c r="G908" s="200"/>
    </row>
    <row r="909" spans="1:7" x14ac:dyDescent="0.2">
      <c r="A909" s="199"/>
      <c r="B909" s="200"/>
      <c r="C909" s="200"/>
      <c r="D909" s="200"/>
      <c r="E909" s="200"/>
      <c r="F909" s="200"/>
      <c r="G909" s="200"/>
    </row>
    <row r="910" spans="1:7" x14ac:dyDescent="0.2">
      <c r="A910" s="199"/>
      <c r="B910" s="200"/>
      <c r="C910" s="200"/>
      <c r="D910" s="200"/>
      <c r="E910" s="200"/>
      <c r="F910" s="200"/>
      <c r="G910" s="200"/>
    </row>
    <row r="911" spans="1:7" x14ac:dyDescent="0.2">
      <c r="A911" s="199"/>
      <c r="B911" s="200"/>
      <c r="C911" s="200"/>
      <c r="D911" s="200"/>
      <c r="E911" s="200"/>
      <c r="F911" s="200"/>
      <c r="G911" s="200"/>
    </row>
    <row r="912" spans="1:7" x14ac:dyDescent="0.2">
      <c r="A912" s="199"/>
      <c r="B912" s="200"/>
      <c r="C912" s="200"/>
      <c r="D912" s="200"/>
      <c r="E912" s="200"/>
      <c r="F912" s="200"/>
      <c r="G912" s="200"/>
    </row>
    <row r="913" spans="1:7" x14ac:dyDescent="0.2">
      <c r="A913" s="199"/>
      <c r="B913" s="200"/>
      <c r="C913" s="200"/>
      <c r="D913" s="200"/>
      <c r="E913" s="200"/>
      <c r="F913" s="200"/>
      <c r="G913" s="200"/>
    </row>
    <row r="914" spans="1:7" x14ac:dyDescent="0.2">
      <c r="A914" s="199"/>
      <c r="B914" s="200"/>
      <c r="C914" s="200"/>
      <c r="D914" s="200"/>
      <c r="E914" s="200"/>
      <c r="F914" s="200"/>
      <c r="G914" s="200"/>
    </row>
    <row r="915" spans="1:7" x14ac:dyDescent="0.2">
      <c r="A915" s="199"/>
      <c r="B915" s="200"/>
      <c r="C915" s="200"/>
      <c r="D915" s="200"/>
      <c r="E915" s="200"/>
      <c r="F915" s="200"/>
      <c r="G915" s="200"/>
    </row>
    <row r="916" spans="1:7" x14ac:dyDescent="0.2">
      <c r="A916" s="199"/>
      <c r="B916" s="200"/>
      <c r="C916" s="200"/>
      <c r="D916" s="200"/>
      <c r="E916" s="200"/>
      <c r="F916" s="200"/>
      <c r="G916" s="200"/>
    </row>
    <row r="917" spans="1:7" x14ac:dyDescent="0.2">
      <c r="A917" s="199"/>
      <c r="B917" s="200"/>
      <c r="C917" s="200"/>
      <c r="D917" s="200"/>
      <c r="E917" s="200"/>
      <c r="F917" s="200"/>
      <c r="G917" s="200"/>
    </row>
    <row r="918" spans="1:7" x14ac:dyDescent="0.2">
      <c r="A918" s="199"/>
      <c r="B918" s="200"/>
      <c r="C918" s="200"/>
      <c r="D918" s="200"/>
      <c r="E918" s="200"/>
      <c r="F918" s="200"/>
      <c r="G918" s="200"/>
    </row>
    <row r="919" spans="1:7" x14ac:dyDescent="0.2">
      <c r="A919" s="199"/>
      <c r="B919" s="200"/>
      <c r="C919" s="200"/>
      <c r="D919" s="200"/>
      <c r="E919" s="200"/>
      <c r="F919" s="200"/>
      <c r="G919" s="200"/>
    </row>
    <row r="920" spans="1:7" x14ac:dyDescent="0.2">
      <c r="A920" s="199"/>
      <c r="B920" s="200"/>
      <c r="C920" s="200"/>
      <c r="D920" s="200"/>
      <c r="E920" s="200"/>
      <c r="F920" s="200"/>
      <c r="G920" s="200"/>
    </row>
    <row r="921" spans="1:7" x14ac:dyDescent="0.2">
      <c r="A921" s="199"/>
      <c r="B921" s="200"/>
      <c r="C921" s="200"/>
      <c r="D921" s="200"/>
      <c r="E921" s="200"/>
      <c r="F921" s="200"/>
      <c r="G921" s="200"/>
    </row>
    <row r="922" spans="1:7" x14ac:dyDescent="0.2">
      <c r="A922" s="199"/>
      <c r="B922" s="200"/>
      <c r="C922" s="200"/>
      <c r="D922" s="200"/>
      <c r="E922" s="200"/>
      <c r="F922" s="200"/>
      <c r="G922" s="200"/>
    </row>
    <row r="923" spans="1:7" x14ac:dyDescent="0.2">
      <c r="A923" s="199"/>
      <c r="B923" s="200"/>
      <c r="C923" s="200"/>
      <c r="D923" s="200"/>
      <c r="E923" s="200"/>
      <c r="F923" s="200"/>
      <c r="G923" s="200"/>
    </row>
    <row r="924" spans="1:7" x14ac:dyDescent="0.2">
      <c r="A924" s="199"/>
      <c r="B924" s="200"/>
      <c r="C924" s="200"/>
      <c r="D924" s="200"/>
      <c r="E924" s="200"/>
      <c r="F924" s="200"/>
      <c r="G924" s="200"/>
    </row>
    <row r="925" spans="1:7" x14ac:dyDescent="0.2">
      <c r="A925" s="199"/>
      <c r="B925" s="200"/>
      <c r="C925" s="200"/>
      <c r="D925" s="200"/>
      <c r="E925" s="200"/>
      <c r="F925" s="200"/>
      <c r="G925" s="200"/>
    </row>
    <row r="926" spans="1:7" x14ac:dyDescent="0.2">
      <c r="A926" s="199"/>
      <c r="B926" s="200"/>
      <c r="C926" s="200"/>
      <c r="D926" s="200"/>
      <c r="E926" s="200"/>
      <c r="F926" s="200"/>
      <c r="G926" s="200"/>
    </row>
    <row r="927" spans="1:7" x14ac:dyDescent="0.2">
      <c r="A927" s="199"/>
      <c r="B927" s="200"/>
      <c r="C927" s="200"/>
      <c r="D927" s="200"/>
      <c r="E927" s="200"/>
      <c r="F927" s="200"/>
      <c r="G927" s="200"/>
    </row>
    <row r="928" spans="1:7" x14ac:dyDescent="0.2">
      <c r="A928" s="199"/>
      <c r="B928" s="200"/>
      <c r="C928" s="200"/>
      <c r="D928" s="200"/>
      <c r="E928" s="200"/>
      <c r="F928" s="200"/>
      <c r="G928" s="200"/>
    </row>
    <row r="929" spans="1:7" x14ac:dyDescent="0.2">
      <c r="A929" s="199"/>
      <c r="B929" s="200"/>
      <c r="C929" s="200"/>
      <c r="D929" s="200"/>
      <c r="E929" s="200"/>
      <c r="F929" s="200"/>
      <c r="G929" s="200"/>
    </row>
    <row r="930" spans="1:7" x14ac:dyDescent="0.2">
      <c r="A930" s="199"/>
      <c r="B930" s="200"/>
      <c r="C930" s="200"/>
      <c r="D930" s="200"/>
      <c r="E930" s="200"/>
      <c r="F930" s="200"/>
      <c r="G930" s="200"/>
    </row>
    <row r="931" spans="1:7" x14ac:dyDescent="0.2">
      <c r="A931" s="199"/>
      <c r="B931" s="200"/>
      <c r="C931" s="200"/>
      <c r="D931" s="200"/>
      <c r="E931" s="200"/>
      <c r="F931" s="200"/>
      <c r="G931" s="200"/>
    </row>
    <row r="932" spans="1:7" x14ac:dyDescent="0.2">
      <c r="A932" s="199"/>
      <c r="B932" s="200"/>
      <c r="C932" s="200"/>
      <c r="D932" s="200"/>
      <c r="E932" s="200"/>
      <c r="F932" s="200"/>
      <c r="G932" s="200"/>
    </row>
    <row r="933" spans="1:7" x14ac:dyDescent="0.2">
      <c r="A933" s="199"/>
      <c r="B933" s="200"/>
      <c r="C933" s="200"/>
      <c r="D933" s="200"/>
      <c r="E933" s="200"/>
      <c r="F933" s="200"/>
      <c r="G933" s="200"/>
    </row>
    <row r="934" spans="1:7" x14ac:dyDescent="0.2">
      <c r="A934" s="199"/>
      <c r="B934" s="200"/>
      <c r="C934" s="200"/>
      <c r="D934" s="200"/>
      <c r="E934" s="200"/>
      <c r="F934" s="200"/>
      <c r="G934" s="200"/>
    </row>
    <row r="935" spans="1:7" x14ac:dyDescent="0.2">
      <c r="A935" s="199"/>
      <c r="B935" s="200"/>
      <c r="C935" s="200"/>
      <c r="D935" s="200"/>
      <c r="E935" s="200"/>
      <c r="F935" s="200"/>
      <c r="G935" s="200"/>
    </row>
    <row r="936" spans="1:7" x14ac:dyDescent="0.2">
      <c r="A936" s="199"/>
      <c r="B936" s="200"/>
      <c r="C936" s="200"/>
      <c r="D936" s="200"/>
      <c r="E936" s="200"/>
      <c r="F936" s="200"/>
      <c r="G936" s="200"/>
    </row>
    <row r="937" spans="1:7" x14ac:dyDescent="0.2">
      <c r="A937" s="199"/>
      <c r="B937" s="200"/>
      <c r="C937" s="200"/>
      <c r="D937" s="200"/>
      <c r="E937" s="200"/>
      <c r="F937" s="200"/>
      <c r="G937" s="200"/>
    </row>
    <row r="938" spans="1:7" x14ac:dyDescent="0.2">
      <c r="A938" s="199"/>
      <c r="B938" s="200"/>
      <c r="C938" s="200"/>
      <c r="D938" s="200"/>
      <c r="E938" s="200"/>
      <c r="F938" s="200"/>
      <c r="G938" s="200"/>
    </row>
    <row r="939" spans="1:7" x14ac:dyDescent="0.2">
      <c r="A939" s="199"/>
      <c r="B939" s="200"/>
      <c r="C939" s="200"/>
      <c r="D939" s="200"/>
      <c r="E939" s="200"/>
      <c r="F939" s="200"/>
      <c r="G939" s="200"/>
    </row>
    <row r="940" spans="1:7" x14ac:dyDescent="0.2">
      <c r="A940" s="199"/>
      <c r="B940" s="200"/>
      <c r="C940" s="200"/>
      <c r="D940" s="200"/>
      <c r="E940" s="200"/>
      <c r="F940" s="200"/>
      <c r="G940" s="200"/>
    </row>
    <row r="941" spans="1:7" x14ac:dyDescent="0.2">
      <c r="A941" s="199"/>
      <c r="B941" s="200"/>
      <c r="C941" s="200"/>
      <c r="D941" s="200"/>
      <c r="E941" s="200"/>
      <c r="F941" s="200"/>
      <c r="G941" s="200"/>
    </row>
    <row r="942" spans="1:7" x14ac:dyDescent="0.2">
      <c r="A942" s="199"/>
      <c r="B942" s="200"/>
      <c r="C942" s="200"/>
      <c r="D942" s="200"/>
      <c r="E942" s="200"/>
      <c r="F942" s="200"/>
      <c r="G942" s="200"/>
    </row>
    <row r="943" spans="1:7" x14ac:dyDescent="0.2">
      <c r="A943" s="199"/>
      <c r="B943" s="200"/>
      <c r="C943" s="200"/>
      <c r="D943" s="200"/>
      <c r="E943" s="200"/>
      <c r="F943" s="200"/>
      <c r="G943" s="200"/>
    </row>
    <row r="944" spans="1:7" x14ac:dyDescent="0.2">
      <c r="A944" s="199"/>
      <c r="B944" s="200"/>
      <c r="C944" s="200"/>
      <c r="D944" s="200"/>
      <c r="E944" s="200"/>
      <c r="F944" s="200"/>
      <c r="G944" s="200"/>
    </row>
    <row r="945" spans="1:7" x14ac:dyDescent="0.2">
      <c r="A945" s="199"/>
      <c r="B945" s="200"/>
      <c r="C945" s="200"/>
      <c r="D945" s="200"/>
      <c r="E945" s="200"/>
      <c r="F945" s="200"/>
      <c r="G945" s="200"/>
    </row>
    <row r="946" spans="1:7" x14ac:dyDescent="0.2">
      <c r="A946" s="199"/>
      <c r="B946" s="200"/>
      <c r="C946" s="200"/>
      <c r="D946" s="200"/>
      <c r="E946" s="200"/>
      <c r="F946" s="200"/>
      <c r="G946" s="200"/>
    </row>
    <row r="947" spans="1:7" x14ac:dyDescent="0.2">
      <c r="A947" s="199"/>
      <c r="B947" s="200"/>
      <c r="C947" s="200"/>
      <c r="D947" s="200"/>
      <c r="E947" s="200"/>
      <c r="F947" s="200"/>
      <c r="G947" s="200"/>
    </row>
    <row r="948" spans="1:7" x14ac:dyDescent="0.2">
      <c r="A948" s="199"/>
      <c r="B948" s="200"/>
      <c r="C948" s="200"/>
      <c r="D948" s="200"/>
      <c r="E948" s="200"/>
      <c r="F948" s="200"/>
      <c r="G948" s="200"/>
    </row>
    <row r="949" spans="1:7" x14ac:dyDescent="0.2">
      <c r="A949" s="199"/>
      <c r="B949" s="200"/>
      <c r="C949" s="200"/>
      <c r="D949" s="200"/>
      <c r="E949" s="200"/>
      <c r="F949" s="200"/>
      <c r="G949" s="200"/>
    </row>
    <row r="950" spans="1:7" x14ac:dyDescent="0.2">
      <c r="A950" s="199"/>
      <c r="B950" s="200"/>
      <c r="C950" s="200"/>
      <c r="D950" s="200"/>
      <c r="E950" s="200"/>
      <c r="F950" s="200"/>
      <c r="G950" s="200"/>
    </row>
    <row r="951" spans="1:7" x14ac:dyDescent="0.2">
      <c r="A951" s="199"/>
      <c r="B951" s="200"/>
      <c r="C951" s="200"/>
      <c r="D951" s="200"/>
      <c r="E951" s="200"/>
      <c r="F951" s="200"/>
      <c r="G951" s="200"/>
    </row>
    <row r="952" spans="1:7" x14ac:dyDescent="0.2">
      <c r="A952" s="199"/>
      <c r="B952" s="200"/>
      <c r="C952" s="200"/>
      <c r="D952" s="200"/>
      <c r="E952" s="200"/>
      <c r="F952" s="200"/>
      <c r="G952" s="200"/>
    </row>
    <row r="953" spans="1:7" x14ac:dyDescent="0.2">
      <c r="A953" s="199"/>
      <c r="B953" s="200"/>
      <c r="C953" s="200"/>
      <c r="D953" s="200"/>
      <c r="E953" s="200"/>
      <c r="F953" s="200"/>
      <c r="G953" s="200"/>
    </row>
    <row r="954" spans="1:7" x14ac:dyDescent="0.2">
      <c r="A954" s="199"/>
      <c r="B954" s="200"/>
      <c r="C954" s="200"/>
      <c r="D954" s="200"/>
      <c r="E954" s="200"/>
      <c r="F954" s="200"/>
      <c r="G954" s="200"/>
    </row>
    <row r="955" spans="1:7" x14ac:dyDescent="0.2">
      <c r="A955" s="199"/>
      <c r="B955" s="200"/>
      <c r="C955" s="200"/>
      <c r="D955" s="200"/>
      <c r="E955" s="200"/>
      <c r="F955" s="200"/>
      <c r="G955" s="200"/>
    </row>
    <row r="956" spans="1:7" x14ac:dyDescent="0.2">
      <c r="A956" s="199"/>
      <c r="B956" s="200"/>
      <c r="C956" s="200"/>
      <c r="D956" s="200"/>
      <c r="E956" s="200"/>
      <c r="F956" s="200"/>
      <c r="G956" s="200"/>
    </row>
    <row r="957" spans="1:7" x14ac:dyDescent="0.2">
      <c r="A957" s="199"/>
      <c r="B957" s="200"/>
      <c r="C957" s="200"/>
      <c r="D957" s="200"/>
      <c r="E957" s="200"/>
      <c r="F957" s="200"/>
      <c r="G957" s="200"/>
    </row>
    <row r="958" spans="1:7" x14ac:dyDescent="0.2">
      <c r="A958" s="199"/>
      <c r="B958" s="200"/>
      <c r="C958" s="200"/>
      <c r="D958" s="200"/>
      <c r="E958" s="200"/>
      <c r="F958" s="200"/>
      <c r="G958" s="200"/>
    </row>
    <row r="959" spans="1:7" x14ac:dyDescent="0.2">
      <c r="A959" s="199"/>
      <c r="B959" s="200"/>
      <c r="C959" s="200"/>
      <c r="D959" s="200"/>
      <c r="E959" s="200"/>
      <c r="F959" s="200"/>
      <c r="G959" s="200"/>
    </row>
    <row r="960" spans="1:7" x14ac:dyDescent="0.2">
      <c r="A960" s="199"/>
      <c r="B960" s="200"/>
      <c r="C960" s="200"/>
      <c r="D960" s="200"/>
      <c r="E960" s="200"/>
      <c r="F960" s="200"/>
      <c r="G960" s="200"/>
    </row>
    <row r="961" spans="1:7" x14ac:dyDescent="0.2">
      <c r="A961" s="199"/>
      <c r="B961" s="200"/>
      <c r="C961" s="200"/>
      <c r="D961" s="200"/>
      <c r="E961" s="200"/>
      <c r="F961" s="200"/>
      <c r="G961" s="200"/>
    </row>
    <row r="962" spans="1:7" x14ac:dyDescent="0.2">
      <c r="A962" s="199"/>
      <c r="B962" s="200"/>
      <c r="C962" s="200"/>
      <c r="D962" s="200"/>
      <c r="E962" s="200"/>
      <c r="F962" s="200"/>
      <c r="G962" s="200"/>
    </row>
    <row r="963" spans="1:7" x14ac:dyDescent="0.2">
      <c r="A963" s="199"/>
      <c r="B963" s="200"/>
      <c r="C963" s="200"/>
      <c r="D963" s="200"/>
      <c r="E963" s="200"/>
      <c r="F963" s="200"/>
      <c r="G963" s="200"/>
    </row>
    <row r="964" spans="1:7" x14ac:dyDescent="0.2">
      <c r="A964" s="199"/>
      <c r="B964" s="200"/>
      <c r="C964" s="200"/>
      <c r="D964" s="200"/>
      <c r="E964" s="200"/>
      <c r="F964" s="200"/>
      <c r="G964" s="200"/>
    </row>
    <row r="965" spans="1:7" x14ac:dyDescent="0.2">
      <c r="A965" s="199"/>
      <c r="B965" s="200"/>
      <c r="C965" s="200"/>
      <c r="D965" s="200"/>
      <c r="E965" s="200"/>
      <c r="F965" s="200"/>
      <c r="G965" s="200"/>
    </row>
    <row r="966" spans="1:7" x14ac:dyDescent="0.2">
      <c r="A966" s="199"/>
      <c r="B966" s="200"/>
      <c r="C966" s="200"/>
      <c r="D966" s="200"/>
      <c r="E966" s="200"/>
      <c r="F966" s="200"/>
      <c r="G966" s="200"/>
    </row>
    <row r="967" spans="1:7" x14ac:dyDescent="0.2">
      <c r="A967" s="199"/>
      <c r="B967" s="200"/>
      <c r="C967" s="200"/>
      <c r="D967" s="200"/>
      <c r="E967" s="200"/>
      <c r="F967" s="200"/>
      <c r="G967" s="200"/>
    </row>
    <row r="968" spans="1:7" x14ac:dyDescent="0.2">
      <c r="A968" s="199"/>
      <c r="B968" s="200"/>
      <c r="C968" s="200"/>
      <c r="D968" s="200"/>
      <c r="E968" s="200"/>
      <c r="F968" s="200"/>
      <c r="G968" s="200"/>
    </row>
    <row r="969" spans="1:7" x14ac:dyDescent="0.2">
      <c r="A969" s="199"/>
      <c r="B969" s="200"/>
      <c r="C969" s="200"/>
      <c r="D969" s="200"/>
      <c r="E969" s="200"/>
      <c r="F969" s="200"/>
      <c r="G969" s="200"/>
    </row>
    <row r="970" spans="1:7" x14ac:dyDescent="0.2">
      <c r="A970" s="199"/>
      <c r="B970" s="200"/>
      <c r="C970" s="200"/>
      <c r="D970" s="200"/>
      <c r="E970" s="200"/>
      <c r="F970" s="200"/>
      <c r="G970" s="200"/>
    </row>
    <row r="971" spans="1:7" x14ac:dyDescent="0.2">
      <c r="A971" s="199"/>
      <c r="B971" s="200"/>
      <c r="C971" s="200"/>
      <c r="D971" s="200"/>
      <c r="E971" s="200"/>
      <c r="F971" s="200"/>
      <c r="G971" s="200"/>
    </row>
    <row r="972" spans="1:7" x14ac:dyDescent="0.2">
      <c r="A972" s="199"/>
      <c r="B972" s="200"/>
      <c r="C972" s="200"/>
      <c r="D972" s="200"/>
      <c r="E972" s="200"/>
      <c r="F972" s="200"/>
      <c r="G972" s="200"/>
    </row>
    <row r="973" spans="1:7" x14ac:dyDescent="0.2">
      <c r="A973" s="199"/>
      <c r="B973" s="200"/>
      <c r="C973" s="200"/>
      <c r="D973" s="200"/>
      <c r="E973" s="200"/>
      <c r="F973" s="200"/>
      <c r="G973" s="200"/>
    </row>
    <row r="974" spans="1:7" x14ac:dyDescent="0.2">
      <c r="A974" s="199"/>
      <c r="B974" s="200"/>
      <c r="C974" s="200"/>
      <c r="D974" s="200"/>
      <c r="E974" s="200"/>
      <c r="F974" s="200"/>
      <c r="G974" s="200"/>
    </row>
    <row r="975" spans="1:7" x14ac:dyDescent="0.2">
      <c r="A975" s="199"/>
      <c r="B975" s="200"/>
      <c r="C975" s="200"/>
      <c r="D975" s="200"/>
      <c r="E975" s="200"/>
      <c r="F975" s="200"/>
      <c r="G975" s="200"/>
    </row>
    <row r="976" spans="1:7" x14ac:dyDescent="0.2">
      <c r="A976" s="199"/>
      <c r="B976" s="200"/>
      <c r="C976" s="200"/>
      <c r="D976" s="200"/>
      <c r="E976" s="200"/>
      <c r="F976" s="200"/>
      <c r="G976" s="200"/>
    </row>
    <row r="977" spans="1:7" x14ac:dyDescent="0.2">
      <c r="A977" s="199"/>
      <c r="B977" s="200"/>
      <c r="C977" s="200"/>
      <c r="D977" s="200"/>
      <c r="E977" s="200"/>
      <c r="F977" s="200"/>
      <c r="G977" s="200"/>
    </row>
    <row r="978" spans="1:7" x14ac:dyDescent="0.2">
      <c r="A978" s="199"/>
      <c r="B978" s="200"/>
      <c r="C978" s="200"/>
      <c r="D978" s="200"/>
      <c r="E978" s="200"/>
      <c r="F978" s="200"/>
      <c r="G978" s="200"/>
    </row>
    <row r="979" spans="1:7" x14ac:dyDescent="0.2">
      <c r="A979" s="199"/>
      <c r="B979" s="200"/>
      <c r="C979" s="200"/>
      <c r="D979" s="200"/>
      <c r="E979" s="200"/>
      <c r="F979" s="200"/>
      <c r="G979" s="200"/>
    </row>
    <row r="980" spans="1:7" x14ac:dyDescent="0.2">
      <c r="A980" s="199"/>
      <c r="B980" s="200"/>
      <c r="C980" s="200"/>
      <c r="D980" s="200"/>
      <c r="E980" s="200"/>
      <c r="F980" s="200"/>
      <c r="G980" s="200"/>
    </row>
    <row r="981" spans="1:7" x14ac:dyDescent="0.2">
      <c r="A981" s="199"/>
      <c r="B981" s="200"/>
      <c r="C981" s="200"/>
      <c r="D981" s="200"/>
      <c r="E981" s="200"/>
      <c r="F981" s="200"/>
      <c r="G981" s="200"/>
    </row>
    <row r="982" spans="1:7" x14ac:dyDescent="0.2">
      <c r="A982" s="199"/>
      <c r="B982" s="200"/>
      <c r="C982" s="200"/>
      <c r="D982" s="200"/>
      <c r="E982" s="200"/>
      <c r="F982" s="200"/>
      <c r="G982" s="200"/>
    </row>
    <row r="983" spans="1:7" x14ac:dyDescent="0.2">
      <c r="A983" s="199"/>
      <c r="B983" s="200"/>
      <c r="C983" s="200"/>
      <c r="D983" s="200"/>
      <c r="E983" s="200"/>
      <c r="F983" s="200"/>
      <c r="G983" s="200"/>
    </row>
    <row r="984" spans="1:7" x14ac:dyDescent="0.2">
      <c r="A984" s="199"/>
      <c r="B984" s="200"/>
      <c r="C984" s="200"/>
      <c r="D984" s="200"/>
      <c r="E984" s="200"/>
      <c r="F984" s="200"/>
      <c r="G984" s="200"/>
    </row>
    <row r="985" spans="1:7" x14ac:dyDescent="0.2">
      <c r="A985" s="199"/>
      <c r="B985" s="200"/>
      <c r="C985" s="200"/>
      <c r="D985" s="200"/>
      <c r="E985" s="200"/>
      <c r="F985" s="200"/>
      <c r="G985" s="200"/>
    </row>
    <row r="986" spans="1:7" x14ac:dyDescent="0.2">
      <c r="A986" s="199"/>
      <c r="B986" s="200"/>
      <c r="C986" s="200"/>
      <c r="D986" s="200"/>
      <c r="E986" s="200"/>
      <c r="F986" s="200"/>
      <c r="G986" s="200"/>
    </row>
    <row r="987" spans="1:7" x14ac:dyDescent="0.2">
      <c r="A987" s="199"/>
      <c r="B987" s="200"/>
      <c r="C987" s="200"/>
      <c r="D987" s="200"/>
      <c r="E987" s="200"/>
      <c r="F987" s="200"/>
      <c r="G987" s="200"/>
    </row>
    <row r="988" spans="1:7" x14ac:dyDescent="0.2">
      <c r="A988" s="199"/>
      <c r="B988" s="200"/>
      <c r="C988" s="200"/>
      <c r="D988" s="200"/>
      <c r="E988" s="200"/>
      <c r="F988" s="200"/>
      <c r="G988" s="200"/>
    </row>
    <row r="989" spans="1:7" x14ac:dyDescent="0.2">
      <c r="A989" s="199"/>
      <c r="B989" s="200"/>
      <c r="C989" s="200"/>
      <c r="D989" s="200"/>
      <c r="E989" s="200"/>
      <c r="F989" s="200"/>
      <c r="G989" s="200"/>
    </row>
    <row r="990" spans="1:7" x14ac:dyDescent="0.2">
      <c r="A990" s="199"/>
      <c r="B990" s="200"/>
      <c r="C990" s="200"/>
      <c r="D990" s="200"/>
      <c r="E990" s="200"/>
      <c r="F990" s="200"/>
      <c r="G990" s="200"/>
    </row>
    <row r="991" spans="1:7" x14ac:dyDescent="0.2">
      <c r="A991" s="199"/>
      <c r="B991" s="200"/>
      <c r="C991" s="200"/>
      <c r="D991" s="200"/>
      <c r="E991" s="200"/>
      <c r="F991" s="200"/>
      <c r="G991" s="200"/>
    </row>
    <row r="992" spans="1:7" x14ac:dyDescent="0.2">
      <c r="A992" s="199"/>
      <c r="B992" s="200"/>
      <c r="C992" s="200"/>
      <c r="D992" s="200"/>
      <c r="E992" s="200"/>
      <c r="F992" s="200"/>
      <c r="G992" s="200"/>
    </row>
    <row r="993" spans="1:7" x14ac:dyDescent="0.2">
      <c r="A993" s="199"/>
      <c r="B993" s="200"/>
      <c r="C993" s="200"/>
      <c r="D993" s="200"/>
      <c r="E993" s="200"/>
      <c r="F993" s="200"/>
      <c r="G993" s="200"/>
    </row>
    <row r="994" spans="1:7" x14ac:dyDescent="0.2">
      <c r="A994" s="199"/>
      <c r="B994" s="200"/>
      <c r="C994" s="200"/>
      <c r="D994" s="200"/>
      <c r="E994" s="200"/>
      <c r="F994" s="200"/>
      <c r="G994" s="200"/>
    </row>
    <row r="995" spans="1:7" x14ac:dyDescent="0.2">
      <c r="A995" s="199"/>
      <c r="B995" s="200"/>
      <c r="C995" s="200"/>
      <c r="D995" s="200"/>
      <c r="E995" s="200"/>
      <c r="F995" s="200"/>
      <c r="G995" s="200"/>
    </row>
    <row r="996" spans="1:7" x14ac:dyDescent="0.2">
      <c r="A996" s="199"/>
      <c r="B996" s="200"/>
      <c r="C996" s="200"/>
      <c r="D996" s="200"/>
      <c r="E996" s="200"/>
      <c r="F996" s="200"/>
      <c r="G996" s="200"/>
    </row>
    <row r="997" spans="1:7" x14ac:dyDescent="0.2">
      <c r="A997" s="199"/>
      <c r="B997" s="200"/>
      <c r="C997" s="200"/>
      <c r="D997" s="200"/>
      <c r="E997" s="200"/>
      <c r="F997" s="200"/>
      <c r="G997" s="200"/>
    </row>
    <row r="998" spans="1:7" x14ac:dyDescent="0.2">
      <c r="A998" s="199"/>
      <c r="B998" s="200"/>
      <c r="C998" s="200"/>
      <c r="D998" s="200"/>
      <c r="E998" s="200"/>
      <c r="F998" s="200"/>
      <c r="G998" s="200"/>
    </row>
    <row r="999" spans="1:7" x14ac:dyDescent="0.2">
      <c r="A999" s="199"/>
      <c r="B999" s="200"/>
      <c r="C999" s="200"/>
      <c r="D999" s="200"/>
      <c r="E999" s="200"/>
      <c r="F999" s="200"/>
      <c r="G999" s="200"/>
    </row>
    <row r="1000" spans="1:7" x14ac:dyDescent="0.2">
      <c r="A1000" s="199"/>
      <c r="B1000" s="200"/>
      <c r="C1000" s="200"/>
      <c r="D1000" s="200"/>
      <c r="E1000" s="200"/>
      <c r="F1000" s="200"/>
      <c r="G1000" s="200"/>
    </row>
    <row r="1001" spans="1:7" x14ac:dyDescent="0.2">
      <c r="A1001" s="199"/>
      <c r="B1001" s="200"/>
      <c r="C1001" s="200"/>
      <c r="D1001" s="200"/>
      <c r="E1001" s="200"/>
      <c r="F1001" s="200"/>
      <c r="G1001" s="200"/>
    </row>
  </sheetData>
  <sheetProtection algorithmName="SHA-512" hashValue="be8tQKPzXOPoDE2j7F1fhr9R+H79twdGHNDHJNE0FnTlT9NQXc7DZawe/6UL0ndJvR24OlO5IvhDbJO0lqkPEQ==" saltValue="9wVM96AEGqeKDzHqKSAH8w==" spinCount="100000" sheet="1" objects="1" scenarios="1"/>
  <printOptions gridLines="1"/>
  <pageMargins left="0.7" right="0.7" top="0.75" bottom="0.75" header="0.3" footer="0.3"/>
  <pageSetup paperSize="3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INPUT  Pg1</vt:lpstr>
      <vt:lpstr>OG Heli  INPUT</vt:lpstr>
      <vt:lpstr>P&amp;R</vt:lpstr>
      <vt:lpstr>BY2025 Update</vt:lpstr>
      <vt:lpstr>Project SV mfg</vt:lpstr>
      <vt:lpstr>Logging Costs</vt:lpstr>
      <vt:lpstr>2400-17_RV</vt:lpstr>
      <vt:lpstr>Notes_Tow Dist</vt:lpstr>
    </vt:vector>
  </TitlesOfParts>
  <Manager/>
  <Company>Forest Service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inga.petaisto@usda.gov</dc:creator>
  <cp:keywords/>
  <dc:description/>
  <cp:lastModifiedBy>O'Leary, Daniel - FS, AK</cp:lastModifiedBy>
  <cp:revision/>
  <cp:lastPrinted>2025-09-29T21:33:19Z</cp:lastPrinted>
  <dcterms:created xsi:type="dcterms:W3CDTF">2013-07-29T19:31:39Z</dcterms:created>
  <dcterms:modified xsi:type="dcterms:W3CDTF">2026-07-06T17:06:51Z</dcterms:modified>
  <cp:category/>
  <cp:contentStatus/>
</cp:coreProperties>
</file>