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5396" windowHeight="7752" tabRatio="318"/>
  </bookViews>
  <sheets>
    <sheet name="Volume Under Contract" sheetId="1" r:id="rId1"/>
    <sheet name="Sheet2" sheetId="1824" r:id="rId2"/>
    <sheet name="Sheet3" sheetId="15180" r:id="rId3"/>
  </sheets>
  <calcPr calcId="145621"/>
</workbook>
</file>

<file path=xl/calcChain.xml><?xml version="1.0" encoding="utf-8"?>
<calcChain xmlns="http://schemas.openxmlformats.org/spreadsheetml/2006/main">
  <c r="K116" i="1" l="1"/>
  <c r="J116" i="1"/>
  <c r="I116" i="1"/>
  <c r="H116" i="1"/>
  <c r="K125" i="1"/>
  <c r="J125" i="1"/>
  <c r="I125" i="1"/>
  <c r="H125" i="1"/>
  <c r="K153" i="1"/>
  <c r="J153" i="1"/>
  <c r="I153" i="1"/>
  <c r="H153" i="1"/>
  <c r="K133" i="1"/>
  <c r="J133" i="1"/>
  <c r="I133" i="1"/>
  <c r="H133" i="1"/>
  <c r="A101" i="1"/>
  <c r="A24" i="1"/>
  <c r="A110" i="1"/>
  <c r="A86" i="1" l="1"/>
  <c r="A27" i="1"/>
  <c r="A15" i="1"/>
  <c r="A55" i="1" l="1"/>
  <c r="K160" i="1" l="1"/>
  <c r="J160" i="1"/>
  <c r="I160" i="1"/>
  <c r="H160" i="1"/>
  <c r="K161" i="1" l="1"/>
  <c r="J161" i="1"/>
  <c r="I161" i="1"/>
  <c r="H161" i="1"/>
  <c r="H159" i="1" l="1"/>
  <c r="K144" i="1"/>
  <c r="I144" i="1"/>
  <c r="H144" i="1"/>
  <c r="K143" i="1" a="1"/>
  <c r="K143" i="1" s="1"/>
  <c r="J143" i="1" a="1"/>
  <c r="J143" i="1" s="1"/>
  <c r="I143" i="1" a="1"/>
  <c r="I143" i="1" s="1"/>
  <c r="H143" i="1" a="1"/>
  <c r="H143" i="1" s="1"/>
  <c r="K127" i="1"/>
  <c r="J127" i="1"/>
  <c r="I127" i="1"/>
  <c r="H127" i="1"/>
  <c r="A99" i="1"/>
  <c r="A63" i="1"/>
  <c r="A13" i="1"/>
  <c r="J111" i="1" l="1"/>
  <c r="A111" i="1"/>
  <c r="A104" i="1"/>
  <c r="A54" i="1" l="1"/>
  <c r="A8" i="1" l="1"/>
  <c r="A105" i="1"/>
  <c r="A53" i="1" l="1"/>
  <c r="K155" i="1"/>
  <c r="J155" i="1"/>
  <c r="I155" i="1"/>
  <c r="H155" i="1"/>
  <c r="K154" i="1"/>
  <c r="J154" i="1"/>
  <c r="I154" i="1"/>
  <c r="H154" i="1"/>
  <c r="A80" i="1"/>
  <c r="A79" i="1"/>
  <c r="A78" i="1"/>
  <c r="A77" i="1"/>
  <c r="A49" i="1"/>
  <c r="K126" i="1" l="1"/>
  <c r="J126" i="1"/>
  <c r="I126" i="1"/>
  <c r="H126" i="1"/>
  <c r="K124" i="1"/>
  <c r="J124" i="1"/>
  <c r="I124" i="1"/>
  <c r="H124" i="1"/>
  <c r="K159" i="1" l="1"/>
  <c r="J159" i="1"/>
  <c r="I159" i="1"/>
  <c r="A51" i="1"/>
  <c r="A14" i="1"/>
  <c r="K157" i="1" l="1"/>
  <c r="J157" i="1"/>
  <c r="I157" i="1"/>
  <c r="H157" i="1"/>
  <c r="A85" i="1"/>
  <c r="K164" i="1" l="1" a="1"/>
  <c r="K164" i="1" s="1"/>
  <c r="J164" i="1" a="1"/>
  <c r="J164" i="1" s="1"/>
  <c r="I164" i="1" a="1"/>
  <c r="I164" i="1" s="1"/>
  <c r="H164" i="1" a="1"/>
  <c r="H164" i="1" s="1"/>
  <c r="K156" i="1"/>
  <c r="J156" i="1"/>
  <c r="I156" i="1"/>
  <c r="H156" i="1"/>
  <c r="K135" i="1" a="1"/>
  <c r="K135" i="1" s="1"/>
  <c r="J135" i="1" a="1"/>
  <c r="J135" i="1" s="1"/>
  <c r="I135" i="1" a="1"/>
  <c r="I135" i="1" s="1"/>
  <c r="H135" i="1" a="1"/>
  <c r="H135" i="1" s="1"/>
  <c r="K131" i="1" a="1"/>
  <c r="K131" i="1" s="1"/>
  <c r="J131" i="1" a="1"/>
  <c r="J131" i="1" s="1"/>
  <c r="I131" i="1" a="1"/>
  <c r="I131" i="1" s="1"/>
  <c r="H131" i="1" a="1"/>
  <c r="H131" i="1" s="1"/>
  <c r="A102" i="1" l="1"/>
  <c r="A87" i="1"/>
  <c r="A12" i="1"/>
  <c r="H134" i="1" l="1" a="1"/>
  <c r="H134" i="1" s="1"/>
  <c r="I134" i="1" a="1"/>
  <c r="I134" i="1" s="1"/>
  <c r="J134" i="1" a="1"/>
  <c r="J134" i="1" s="1"/>
  <c r="K134" i="1" a="1"/>
  <c r="K134" i="1" s="1"/>
  <c r="H136" i="1" a="1"/>
  <c r="H136" i="1" s="1"/>
  <c r="I136" i="1" a="1"/>
  <c r="I136" i="1" s="1"/>
  <c r="J136" i="1" a="1"/>
  <c r="J136" i="1" s="1"/>
  <c r="K136" i="1" a="1"/>
  <c r="K136" i="1" s="1"/>
  <c r="H137" i="1"/>
  <c r="I137" i="1"/>
  <c r="J137" i="1"/>
  <c r="K137" i="1"/>
  <c r="H138" i="1"/>
  <c r="I138" i="1"/>
  <c r="K138" i="1"/>
  <c r="H139" i="1" a="1"/>
  <c r="H139" i="1" s="1"/>
  <c r="I139" i="1" a="1"/>
  <c r="I139" i="1" s="1"/>
  <c r="J139" i="1" a="1"/>
  <c r="J139" i="1" s="1"/>
  <c r="K139" i="1" a="1"/>
  <c r="K139" i="1" s="1"/>
  <c r="H140" i="1"/>
  <c r="I140" i="1"/>
  <c r="J140" i="1"/>
  <c r="K140" i="1"/>
  <c r="H141" i="1" a="1"/>
  <c r="H141" i="1" s="1"/>
  <c r="I141" i="1" a="1"/>
  <c r="I141" i="1" s="1"/>
  <c r="J141" i="1" a="1"/>
  <c r="J141" i="1" s="1"/>
  <c r="K141" i="1" a="1"/>
  <c r="K141" i="1" s="1"/>
  <c r="H142" i="1"/>
  <c r="I142" i="1"/>
  <c r="J142" i="1"/>
  <c r="K142" i="1"/>
  <c r="H146" i="1"/>
  <c r="I146" i="1"/>
  <c r="J146" i="1"/>
  <c r="K146" i="1"/>
  <c r="H145" i="1" a="1"/>
  <c r="H145" i="1" s="1"/>
  <c r="I145" i="1" a="1"/>
  <c r="I145" i="1" s="1"/>
  <c r="J145" i="1" a="1"/>
  <c r="J145" i="1" s="1"/>
  <c r="K145" i="1" a="1"/>
  <c r="K145" i="1" s="1"/>
  <c r="H147" i="1" a="1"/>
  <c r="H147" i="1" s="1"/>
  <c r="I147" i="1" a="1"/>
  <c r="I147" i="1" s="1"/>
  <c r="J147" i="1" a="1"/>
  <c r="J147" i="1" s="1"/>
  <c r="K147" i="1" a="1"/>
  <c r="K147" i="1" s="1"/>
  <c r="H148" i="1" a="1"/>
  <c r="H148" i="1" s="1"/>
  <c r="I148" i="1" a="1"/>
  <c r="I148" i="1" s="1"/>
  <c r="J148" i="1" a="1"/>
  <c r="J148" i="1" s="1"/>
  <c r="K148" i="1" a="1"/>
  <c r="K148" i="1" s="1"/>
  <c r="H149" i="1"/>
  <c r="I149" i="1"/>
  <c r="J149" i="1"/>
  <c r="K149" i="1"/>
  <c r="H150" i="1" a="1"/>
  <c r="H150" i="1" s="1"/>
  <c r="I150" i="1" a="1"/>
  <c r="I150" i="1" s="1"/>
  <c r="J150" i="1" a="1"/>
  <c r="J150" i="1" s="1"/>
  <c r="K150" i="1" a="1"/>
  <c r="K150" i="1" s="1"/>
  <c r="H151" i="1" a="1"/>
  <c r="H151" i="1" s="1"/>
  <c r="I151" i="1" a="1"/>
  <c r="I151" i="1" s="1"/>
  <c r="J151" i="1" a="1"/>
  <c r="J151" i="1" s="1"/>
  <c r="K151" i="1" a="1"/>
  <c r="K151" i="1" s="1"/>
  <c r="H152" i="1"/>
  <c r="I152" i="1"/>
  <c r="J152" i="1"/>
  <c r="K152" i="1"/>
  <c r="H158" i="1"/>
  <c r="I158" i="1"/>
  <c r="J158" i="1"/>
  <c r="K158" i="1"/>
  <c r="H162" i="1"/>
  <c r="I162" i="1"/>
  <c r="J162" i="1"/>
  <c r="K162" i="1"/>
  <c r="H163" i="1" a="1"/>
  <c r="H163" i="1" s="1"/>
  <c r="I163" i="1" a="1"/>
  <c r="I163" i="1" s="1"/>
  <c r="J163" i="1" a="1"/>
  <c r="J163" i="1" s="1"/>
  <c r="K163" i="1" a="1"/>
  <c r="K163" i="1" s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 a="1"/>
  <c r="H168" i="1" s="1"/>
  <c r="I168" i="1" a="1"/>
  <c r="I168" i="1" s="1"/>
  <c r="J168" i="1" a="1"/>
  <c r="J168" i="1" s="1"/>
  <c r="K168" i="1" a="1"/>
  <c r="K168" i="1" s="1"/>
  <c r="H169" i="1"/>
  <c r="I169" i="1"/>
  <c r="J169" i="1"/>
  <c r="K169" i="1"/>
  <c r="A60" i="1"/>
  <c r="A16" i="1"/>
  <c r="A56" i="1" l="1"/>
  <c r="A100" i="1"/>
  <c r="A94" i="1"/>
  <c r="A92" i="1"/>
  <c r="A88" i="1"/>
  <c r="A76" i="1"/>
  <c r="A75" i="1"/>
  <c r="A71" i="1"/>
  <c r="A70" i="1"/>
  <c r="A20" i="1"/>
  <c r="A17" i="1"/>
  <c r="A67" i="1" l="1"/>
  <c r="A58" i="1" l="1"/>
  <c r="C107" i="1" l="1"/>
  <c r="G107" i="1"/>
  <c r="A59" i="1" l="1"/>
  <c r="A52" i="1"/>
  <c r="A69" i="1" l="1"/>
  <c r="A32" i="1"/>
  <c r="A50" i="1" l="1"/>
  <c r="A9" i="1"/>
  <c r="K128" i="1" a="1"/>
  <c r="K128" i="1" s="1"/>
  <c r="J128" i="1" a="1"/>
  <c r="J128" i="1" s="1"/>
  <c r="I128" i="1" a="1"/>
  <c r="I128" i="1" s="1"/>
  <c r="H128" i="1" a="1"/>
  <c r="H128" i="1" s="1"/>
  <c r="A84" i="1"/>
  <c r="A6" i="1"/>
  <c r="A5" i="1"/>
  <c r="A98" i="1"/>
  <c r="A90" i="1"/>
  <c r="K123" i="1"/>
  <c r="J123" i="1"/>
  <c r="I123" i="1"/>
  <c r="H123" i="1"/>
  <c r="A103" i="1"/>
  <c r="A47" i="1"/>
  <c r="A22" i="1"/>
  <c r="A21" i="1"/>
  <c r="A18" i="1"/>
  <c r="A11" i="1"/>
  <c r="A10" i="1"/>
  <c r="A106" i="1"/>
  <c r="A61" i="1"/>
  <c r="A89" i="1"/>
  <c r="J112" i="1"/>
  <c r="A95" i="1"/>
  <c r="A26" i="1"/>
  <c r="A4" i="1"/>
  <c r="A42" i="1"/>
  <c r="A19" i="1"/>
  <c r="A7" i="1"/>
  <c r="A83" i="1"/>
  <c r="A112" i="1"/>
  <c r="A34" i="1"/>
  <c r="A65" i="1"/>
  <c r="A64" i="1"/>
  <c r="A62" i="1"/>
  <c r="A57" i="1"/>
  <c r="A48" i="1"/>
  <c r="A46" i="1"/>
  <c r="A29" i="1"/>
  <c r="A40" i="1"/>
  <c r="K132" i="1"/>
  <c r="J132" i="1"/>
  <c r="I132" i="1"/>
  <c r="H132" i="1"/>
  <c r="A23" i="1"/>
  <c r="A82" i="1"/>
  <c r="A81" i="1"/>
  <c r="A43" i="1"/>
  <c r="A25" i="1"/>
  <c r="A3" i="1"/>
  <c r="J130" i="1" a="1"/>
  <c r="J130" i="1" s="1"/>
  <c r="J129" i="1" a="1"/>
  <c r="J129" i="1" s="1"/>
  <c r="K130" i="1"/>
  <c r="I130" i="1"/>
  <c r="H130" i="1"/>
  <c r="J186" i="1"/>
  <c r="J185" i="1"/>
  <c r="J184" i="1"/>
  <c r="J178" i="1"/>
  <c r="J177" i="1"/>
  <c r="K188" i="1"/>
  <c r="J188" i="1" a="1"/>
  <c r="J188" i="1" s="1"/>
  <c r="I188" i="1" a="1"/>
  <c r="I188" i="1" s="1"/>
  <c r="H188" i="1" a="1"/>
  <c r="H188" i="1" s="1"/>
  <c r="K189" i="1"/>
  <c r="J189" i="1"/>
  <c r="I189" i="1"/>
  <c r="H189" i="1"/>
  <c r="K187" i="1" a="1"/>
  <c r="K187" i="1" s="1"/>
  <c r="J187" i="1" a="1"/>
  <c r="J187" i="1" s="1"/>
  <c r="I187" i="1" a="1"/>
  <c r="I187" i="1" s="1"/>
  <c r="H187" i="1" a="1"/>
  <c r="H187" i="1" s="1"/>
  <c r="K186" i="1" a="1"/>
  <c r="K186" i="1" s="1"/>
  <c r="I186" i="1" a="1"/>
  <c r="I186" i="1" s="1"/>
  <c r="H186" i="1" a="1"/>
  <c r="H186" i="1" s="1"/>
  <c r="K185" i="1" a="1"/>
  <c r="K185" i="1" s="1"/>
  <c r="I185" i="1"/>
  <c r="H185" i="1"/>
  <c r="K184" i="1" a="1"/>
  <c r="K184" i="1" s="1"/>
  <c r="I184" i="1" a="1"/>
  <c r="I184" i="1" s="1"/>
  <c r="H184" i="1" a="1"/>
  <c r="H184" i="1" s="1"/>
  <c r="K183" i="1" a="1"/>
  <c r="K183" i="1" s="1"/>
  <c r="J183" i="1" a="1"/>
  <c r="J183" i="1" s="1"/>
  <c r="I183" i="1" a="1"/>
  <c r="I183" i="1" s="1"/>
  <c r="H183" i="1" a="1"/>
  <c r="H183" i="1" s="1"/>
  <c r="K182" i="1" a="1"/>
  <c r="K182" i="1" s="1"/>
  <c r="J182" i="1" a="1"/>
  <c r="J182" i="1" s="1"/>
  <c r="I182" i="1" a="1"/>
  <c r="I182" i="1" s="1"/>
  <c r="H182" i="1" a="1"/>
  <c r="H182" i="1" s="1"/>
  <c r="K181" i="1" a="1"/>
  <c r="K181" i="1" s="1"/>
  <c r="J181" i="1" a="1"/>
  <c r="J181" i="1" s="1"/>
  <c r="I181" i="1" a="1"/>
  <c r="I181" i="1" s="1"/>
  <c r="H181" i="1" a="1"/>
  <c r="H181" i="1" s="1"/>
  <c r="K180" i="1" a="1"/>
  <c r="K180" i="1" s="1"/>
  <c r="J180" i="1" a="1"/>
  <c r="J180" i="1" s="1"/>
  <c r="I180" i="1" a="1"/>
  <c r="I180" i="1" s="1"/>
  <c r="H180" i="1" a="1"/>
  <c r="H180" i="1" s="1"/>
  <c r="K179" i="1" a="1"/>
  <c r="K179" i="1" s="1"/>
  <c r="J179" i="1" a="1"/>
  <c r="I179" i="1" a="1"/>
  <c r="I179" i="1" s="1"/>
  <c r="H179" i="1" a="1"/>
  <c r="H179" i="1" s="1"/>
  <c r="K178" i="1" a="1"/>
  <c r="K178" i="1" s="1"/>
  <c r="I178" i="1" a="1"/>
  <c r="I178" i="1" s="1"/>
  <c r="H178" i="1" a="1"/>
  <c r="H178" i="1" s="1"/>
  <c r="K177" i="1"/>
  <c r="I177" i="1"/>
  <c r="H177" i="1"/>
  <c r="A30" i="1"/>
  <c r="K129" i="1" a="1"/>
  <c r="K129" i="1" s="1"/>
  <c r="K122" i="1" a="1"/>
  <c r="K122" i="1" s="1"/>
  <c r="J122" i="1" a="1"/>
  <c r="J122" i="1" s="1"/>
  <c r="I129" i="1" a="1"/>
  <c r="I129" i="1" s="1"/>
  <c r="I122" i="1" a="1"/>
  <c r="I122" i="1" s="1"/>
  <c r="H129" i="1" a="1"/>
  <c r="H129" i="1" s="1"/>
  <c r="H122" i="1" a="1"/>
  <c r="H122" i="1" s="1"/>
  <c r="A97" i="1"/>
  <c r="A44" i="1"/>
  <c r="A41" i="1"/>
  <c r="A36" i="1"/>
  <c r="A28" i="1"/>
  <c r="J107" i="1"/>
  <c r="A33" i="1"/>
  <c r="A45" i="1"/>
  <c r="A31" i="1"/>
  <c r="A35" i="1"/>
  <c r="A66" i="1"/>
  <c r="A68" i="1"/>
  <c r="A91" i="1"/>
  <c r="A93" i="1"/>
  <c r="A96" i="1"/>
  <c r="K107" i="1"/>
  <c r="K119" i="1" s="1"/>
  <c r="I107" i="1"/>
  <c r="H107" i="1"/>
  <c r="H119" i="1" s="1"/>
  <c r="G116" i="1" l="1"/>
  <c r="C116" i="1"/>
  <c r="J138" i="1"/>
  <c r="J144" i="1"/>
  <c r="J119" i="1"/>
  <c r="J179" i="1"/>
  <c r="J191" i="1" s="1"/>
  <c r="C119" i="1"/>
  <c r="I119" i="1"/>
  <c r="G119" i="1"/>
  <c r="K172" i="1"/>
  <c r="K191" i="1"/>
  <c r="I191" i="1"/>
  <c r="H172" i="1"/>
  <c r="I172" i="1"/>
  <c r="H191" i="1"/>
  <c r="J172" i="1" l="1"/>
</calcChain>
</file>

<file path=xl/sharedStrings.xml><?xml version="1.0" encoding="utf-8"?>
<sst xmlns="http://schemas.openxmlformats.org/spreadsheetml/2006/main" count="442" uniqueCount="283">
  <si>
    <t>Chugach National Forest</t>
  </si>
  <si>
    <t>Bid Date</t>
  </si>
  <si>
    <t>Porter Lumber</t>
  </si>
  <si>
    <t>Tongass National Forest</t>
  </si>
  <si>
    <t>Pacific Log &amp; Lumber Ltd</t>
  </si>
  <si>
    <t>Alcan Forest Products LLP</t>
  </si>
  <si>
    <t>Keith Dahl</t>
  </si>
  <si>
    <t>Icy Straits Lumber &amp; Mill</t>
  </si>
  <si>
    <t>Finger Point</t>
  </si>
  <si>
    <t>Midway Reoffer II</t>
  </si>
  <si>
    <t>Licking Creek</t>
  </si>
  <si>
    <t>Ernie Eads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</si>
  <si>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</si>
  <si>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</si>
  <si>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</si>
  <si>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</si>
  <si>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</si>
  <si>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</si>
  <si>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</si>
  <si>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</si>
  <si>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</si>
  <si>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</si>
  <si>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>Shady</t>
  </si>
  <si>
    <t xml:space="preserve">H &amp; L Salvage, Inc </t>
  </si>
  <si>
    <t>James Harrison</t>
  </si>
  <si>
    <t>Permit</t>
  </si>
  <si>
    <t>Little Rock</t>
  </si>
  <si>
    <t>Viking Lumber Company</t>
  </si>
  <si>
    <t>Larry Trumble</t>
  </si>
  <si>
    <t>Upper Carroll II</t>
  </si>
  <si>
    <t>Lindenberg</t>
  </si>
  <si>
    <t>Commercial Sawlog</t>
  </si>
  <si>
    <t>Buckdance Madder Reoffer</t>
  </si>
  <si>
    <t>H &amp; L Salvage, Inc</t>
  </si>
  <si>
    <t>Volume Cut (MBF)</t>
  </si>
  <si>
    <t>Current Qty Est (MBF)</t>
  </si>
  <si>
    <t>Contract ID</t>
  </si>
  <si>
    <t>Skipping Cow</t>
  </si>
  <si>
    <t>William Kaufman</t>
  </si>
  <si>
    <t>Summary by Purchaser</t>
  </si>
  <si>
    <t>Remaining Vol (MBF)</t>
  </si>
  <si>
    <t>Glacier</t>
  </si>
  <si>
    <t>Cordova</t>
  </si>
  <si>
    <t>Sitka</t>
  </si>
  <si>
    <t>Admirality</t>
  </si>
  <si>
    <t>Unit</t>
  </si>
  <si>
    <t>Lookup Table</t>
  </si>
  <si>
    <t>Power Lake</t>
  </si>
  <si>
    <t>Setter Lake</t>
  </si>
  <si>
    <t>Sale Name (Not in Default)</t>
  </si>
  <si>
    <t>Ranger District</t>
  </si>
  <si>
    <t>Purchaser</t>
  </si>
  <si>
    <t>Remaining Value ($)</t>
  </si>
  <si>
    <t>Backline</t>
  </si>
  <si>
    <t>Last Call Reoffer</t>
  </si>
  <si>
    <t>Above Road</t>
  </si>
  <si>
    <t>Boomerang</t>
  </si>
  <si>
    <t>Small Otter</t>
  </si>
  <si>
    <t>Turbo Otter</t>
  </si>
  <si>
    <t>Three Moose</t>
  </si>
  <si>
    <t>Bogo</t>
  </si>
  <si>
    <t>Bound</t>
  </si>
  <si>
    <t>Fishsticks</t>
  </si>
  <si>
    <t>Custom Cut LLC</t>
  </si>
  <si>
    <t>Summary by Ranger District</t>
  </si>
  <si>
    <t>Two Creeks</t>
  </si>
  <si>
    <t>060510</t>
  </si>
  <si>
    <t>La Brea</t>
  </si>
  <si>
    <t>Single Pit</t>
  </si>
  <si>
    <t>Pit Run</t>
  </si>
  <si>
    <t>North Pole</t>
  </si>
  <si>
    <t>Hook Reoffer</t>
  </si>
  <si>
    <t>Oxbox</t>
  </si>
  <si>
    <t>Commercial Fuelwood</t>
  </si>
  <si>
    <t>Hecla Greens Creek Mining</t>
  </si>
  <si>
    <t>DOT/PF State of Alaska</t>
  </si>
  <si>
    <t>Juneau Access Settlement</t>
  </si>
  <si>
    <t>Michael B Allen</t>
  </si>
  <si>
    <t>Catfal</t>
  </si>
  <si>
    <t>Trap Mountain</t>
  </si>
  <si>
    <t>002562</t>
  </si>
  <si>
    <t>Henry Drechnowicz</t>
  </si>
  <si>
    <t>Turnagain Quarry Set</t>
  </si>
  <si>
    <t>Diesel</t>
  </si>
  <si>
    <t>Sand Pit Settlement</t>
  </si>
  <si>
    <t>St. Nick Forest Products</t>
  </si>
  <si>
    <t xml:space="preserve">William L.Cheney </t>
  </si>
  <si>
    <t>William L.Cheney</t>
  </si>
  <si>
    <t>6367 Small Sale #2 Reoffer</t>
  </si>
  <si>
    <t>Fish Ladder</t>
  </si>
  <si>
    <t>Outback</t>
  </si>
  <si>
    <t>Boundary II</t>
  </si>
  <si>
    <t>Tidal</t>
  </si>
  <si>
    <t>Slake</t>
  </si>
  <si>
    <t>Whale Bay Woods LLC</t>
  </si>
  <si>
    <t>Backline Helicopter</t>
  </si>
  <si>
    <t>Channel Construction, Inc</t>
  </si>
  <si>
    <t>Checkerboard</t>
  </si>
  <si>
    <t>New Bridge Reoffer</t>
  </si>
  <si>
    <t>Microsale #165</t>
  </si>
  <si>
    <t>TLC2ME</t>
  </si>
  <si>
    <t>Two Roads Special Salvage</t>
  </si>
  <si>
    <t>ISL Enterprises LLC</t>
  </si>
  <si>
    <t>Mt Marsh Special Salvage</t>
  </si>
  <si>
    <t>Western Gold Cedar Products</t>
  </si>
  <si>
    <t>Copper</t>
  </si>
  <si>
    <t>Frenchie Stewardship</t>
  </si>
  <si>
    <t>Heceta Stewardship</t>
  </si>
  <si>
    <t>Lead</t>
  </si>
  <si>
    <t>Charles W Bennett</t>
  </si>
  <si>
    <t>Buckhorn Reoffer</t>
  </si>
  <si>
    <t>Jerod Cook</t>
  </si>
  <si>
    <t>40227 Small Sale</t>
  </si>
  <si>
    <t>Rhino</t>
  </si>
  <si>
    <t>North Line Salvage Reoffer</t>
  </si>
  <si>
    <t>John Helliwell</t>
  </si>
  <si>
    <t>Kevin Merry</t>
  </si>
  <si>
    <t>Kake Roadside ITM</t>
  </si>
  <si>
    <t>Count With Remaining  Volume:</t>
  </si>
  <si>
    <t>Microsale #177</t>
  </si>
  <si>
    <t>Elf Point Salvage</t>
  </si>
  <si>
    <t>061526</t>
  </si>
  <si>
    <t>062425</t>
  </si>
  <si>
    <t>062649</t>
  </si>
  <si>
    <t>062631</t>
  </si>
  <si>
    <t>061047</t>
  </si>
  <si>
    <t>062680</t>
  </si>
  <si>
    <t>062540</t>
  </si>
  <si>
    <t>062581</t>
  </si>
  <si>
    <t>062532</t>
  </si>
  <si>
    <t>062383</t>
  </si>
  <si>
    <t>062565</t>
  </si>
  <si>
    <t>062573</t>
  </si>
  <si>
    <t>062045</t>
  </si>
  <si>
    <t>061963</t>
  </si>
  <si>
    <t>062409</t>
  </si>
  <si>
    <t>061559</t>
  </si>
  <si>
    <t>062177</t>
  </si>
  <si>
    <t>061724</t>
  </si>
  <si>
    <t>061013</t>
  </si>
  <si>
    <t>062706</t>
  </si>
  <si>
    <t>061468</t>
  </si>
  <si>
    <t>062227</t>
  </si>
  <si>
    <t>061674</t>
  </si>
  <si>
    <t>061666</t>
  </si>
  <si>
    <t>062136</t>
  </si>
  <si>
    <t>060627</t>
  </si>
  <si>
    <t>062391</t>
  </si>
  <si>
    <t>061955</t>
  </si>
  <si>
    <t>061641</t>
  </si>
  <si>
    <t>061658</t>
  </si>
  <si>
    <t>061815</t>
  </si>
  <si>
    <t>062557</t>
  </si>
  <si>
    <t>061849</t>
  </si>
  <si>
    <t>061427</t>
  </si>
  <si>
    <t>062656</t>
  </si>
  <si>
    <t>062797</t>
  </si>
  <si>
    <t>061682</t>
  </si>
  <si>
    <t>061971</t>
  </si>
  <si>
    <t>062789</t>
  </si>
  <si>
    <t>062763</t>
  </si>
  <si>
    <t>060734</t>
  </si>
  <si>
    <t>061146</t>
  </si>
  <si>
    <t>060619</t>
  </si>
  <si>
    <t>061070</t>
  </si>
  <si>
    <t>061716</t>
  </si>
  <si>
    <t>062698</t>
  </si>
  <si>
    <t>061906</t>
  </si>
  <si>
    <t>061914</t>
  </si>
  <si>
    <t>062219</t>
  </si>
  <si>
    <t>062193</t>
  </si>
  <si>
    <t>061062</t>
  </si>
  <si>
    <t>062433</t>
  </si>
  <si>
    <t>061591</t>
  </si>
  <si>
    <t>062615</t>
  </si>
  <si>
    <t>062623</t>
  </si>
  <si>
    <t>062508</t>
  </si>
  <si>
    <t>062276</t>
  </si>
  <si>
    <t>Ketchikan Ready-Mix &amp; Quarry Inc</t>
  </si>
  <si>
    <t xml:space="preserve">Alaska Region         </t>
  </si>
  <si>
    <t>EARS Stewardship</t>
  </si>
  <si>
    <t>062805</t>
  </si>
  <si>
    <t>Fiddle Microsale Special Sal</t>
  </si>
  <si>
    <t>Long Haul</t>
  </si>
  <si>
    <t>Microsale #178</t>
  </si>
  <si>
    <t>Ralph Dean Blankenship</t>
  </si>
  <si>
    <t>Tote Stewardship</t>
  </si>
  <si>
    <t>UGA Stewardship</t>
  </si>
  <si>
    <t>Wabbit Stewardship</t>
  </si>
  <si>
    <t>Wing Stewardship</t>
  </si>
  <si>
    <t>Venita Coutlee</t>
  </si>
  <si>
    <t>Pass Salvage</t>
  </si>
  <si>
    <t>Tonka Stewardship</t>
  </si>
  <si>
    <t>The Pit</t>
  </si>
  <si>
    <t>William C Musser</t>
  </si>
  <si>
    <t>Microsale #181</t>
  </si>
  <si>
    <t>062920</t>
  </si>
  <si>
    <t>062847</t>
  </si>
  <si>
    <t>062813</t>
  </si>
  <si>
    <t>062862</t>
  </si>
  <si>
    <t>062896</t>
  </si>
  <si>
    <t>062870</t>
  </si>
  <si>
    <t>062904</t>
  </si>
  <si>
    <t>062839</t>
  </si>
  <si>
    <t>062912</t>
  </si>
  <si>
    <t>062821</t>
  </si>
  <si>
    <t>062888</t>
  </si>
  <si>
    <t>Cello Microsale Special Sal</t>
  </si>
  <si>
    <t>Microsale #033</t>
  </si>
  <si>
    <t>062938</t>
  </si>
  <si>
    <t>062946</t>
  </si>
  <si>
    <t>Microsale #182</t>
  </si>
  <si>
    <t>TM Construction, Inc
TM Construction, Inc</t>
  </si>
  <si>
    <t>TUG 2</t>
  </si>
  <si>
    <t>Microsale #180</t>
  </si>
  <si>
    <t>062987</t>
  </si>
  <si>
    <t>062854</t>
  </si>
  <si>
    <t>062979</t>
  </si>
  <si>
    <t>Daniel Fanning</t>
  </si>
  <si>
    <t>Gordon W Chew</t>
  </si>
  <si>
    <t>Scott Hill</t>
  </si>
  <si>
    <t>Vince Schafer</t>
  </si>
  <si>
    <t>Tom Stearns</t>
  </si>
  <si>
    <t>Mitkof Microsale # 3</t>
  </si>
  <si>
    <t>063001</t>
  </si>
  <si>
    <t xml:space="preserve">         Sales/Permits Count:</t>
  </si>
  <si>
    <t>City of Ketchikan</t>
  </si>
  <si>
    <t>Whitman Lake Settlement</t>
  </si>
  <si>
    <t>Mitkof Microsale #4</t>
  </si>
  <si>
    <t>Tim Lindseth</t>
  </si>
  <si>
    <t>Salt Chuck Mill ROW</t>
  </si>
  <si>
    <t>063035</t>
  </si>
  <si>
    <t>063019</t>
  </si>
  <si>
    <t>063027</t>
  </si>
  <si>
    <t>Tim Lindseth
TM Construction, Inc</t>
  </si>
  <si>
    <t>Tower</t>
  </si>
  <si>
    <t>Robert Prefontaine</t>
  </si>
  <si>
    <t>Russell Zeman</t>
  </si>
  <si>
    <t>Wikan Salvage</t>
  </si>
  <si>
    <t>Wikan Salvage Too</t>
  </si>
  <si>
    <t>Wikan Salvage Tree</t>
  </si>
  <si>
    <t>063050</t>
  </si>
  <si>
    <t>063068</t>
  </si>
  <si>
    <t>063076</t>
  </si>
  <si>
    <t>063084</t>
  </si>
  <si>
    <t>Zarkof Salvage</t>
  </si>
  <si>
    <t>Salt</t>
  </si>
  <si>
    <t>063100</t>
  </si>
  <si>
    <t>920127</t>
  </si>
  <si>
    <t>Microsale #183</t>
  </si>
  <si>
    <t>063118</t>
  </si>
  <si>
    <t>920135</t>
  </si>
  <si>
    <t>Todd Miller</t>
  </si>
  <si>
    <t>002646</t>
  </si>
  <si>
    <t>Jim Skugstad</t>
  </si>
  <si>
    <t>Hopeful Coml Fuelwood</t>
  </si>
  <si>
    <t>City &amp; Borough of Sitka</t>
  </si>
  <si>
    <t>Blue Lake Hydro Settlement</t>
  </si>
  <si>
    <t>Fool's Crossing Microsale</t>
  </si>
  <si>
    <t>Microsale #185</t>
  </si>
  <si>
    <t>063167</t>
  </si>
  <si>
    <t>063142</t>
  </si>
  <si>
    <t>063159</t>
  </si>
  <si>
    <t>Todd Miller
TM Construction, Inc</t>
  </si>
  <si>
    <t>Microsale #186</t>
  </si>
  <si>
    <t>063175</t>
  </si>
  <si>
    <t>Alto Resale Microsal</t>
  </si>
  <si>
    <t>Kadacorner</t>
  </si>
  <si>
    <t>Mitkof Microsale # 6</t>
  </si>
  <si>
    <t>063092</t>
  </si>
  <si>
    <t>063183</t>
  </si>
  <si>
    <t>063209</t>
  </si>
  <si>
    <t>Chugach Electrict Assn</t>
  </si>
  <si>
    <t>002653</t>
  </si>
  <si>
    <t>Stetson Diversion Sein</t>
  </si>
  <si>
    <t>Eagle Wood Products</t>
  </si>
  <si>
    <t>Microsale #189</t>
  </si>
  <si>
    <t>Raymond Clavel</t>
  </si>
  <si>
    <t>Microsale #034</t>
  </si>
  <si>
    <t>Microsale #035</t>
  </si>
  <si>
    <t>063217</t>
  </si>
  <si>
    <t>063191</t>
  </si>
  <si>
    <t>063233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</si>
</sst>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yy;@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0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2" applyNumberFormat="0" applyAlignment="0" applyProtection="0"/>
    <xf numFmtId="0" fontId="26" fillId="28" borderId="3" applyNumberFormat="0" applyAlignment="0" applyProtection="0"/>
    <xf numFmtId="0" fontId="27" fillId="0" borderId="0" applyNumberFormat="0" applyFill="0" applyBorder="0" applyAlignment="0" applyProtection="0"/>
    <xf numFmtId="0" fontId="28" fillId="29" borderId="0" applyNumberFormat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30" borderId="2" applyNumberFormat="0" applyAlignment="0" applyProtection="0"/>
    <xf numFmtId="0" fontId="33" fillId="0" borderId="7" applyNumberFormat="0" applyFill="0" applyAlignment="0" applyProtection="0"/>
    <xf numFmtId="0" fontId="34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22" fillId="32" borderId="8" applyNumberFormat="0" applyFont="0" applyAlignment="0" applyProtection="0"/>
    <xf numFmtId="0" fontId="35" fillId="27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0" borderId="0" applyNumberFormat="0" applyFill="0" applyBorder="0" applyAlignment="0" applyProtection="0"/>
    <xf numFmtId="0" fontId="19" fillId="0" borderId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29" borderId="0" applyNumberFormat="0" applyBorder="0" applyAlignment="0" applyProtection="0"/>
    <xf numFmtId="0" fontId="45" fillId="26" borderId="0" applyNumberFormat="0" applyBorder="0" applyAlignment="0" applyProtection="0"/>
    <xf numFmtId="0" fontId="46" fillId="31" borderId="0" applyNumberFormat="0" applyBorder="0" applyAlignment="0" applyProtection="0"/>
    <xf numFmtId="0" fontId="47" fillId="30" borderId="2" applyNumberFormat="0" applyAlignment="0" applyProtection="0"/>
    <xf numFmtId="0" fontId="48" fillId="27" borderId="9" applyNumberFormat="0" applyAlignment="0" applyProtection="0"/>
    <xf numFmtId="0" fontId="49" fillId="27" borderId="2" applyNumberFormat="0" applyAlignment="0" applyProtection="0"/>
    <xf numFmtId="0" fontId="50" fillId="0" borderId="7" applyNumberFormat="0" applyFill="0" applyAlignment="0" applyProtection="0"/>
    <xf numFmtId="0" fontId="51" fillId="28" borderId="3" applyNumberFormat="0" applyAlignment="0" applyProtection="0"/>
    <xf numFmtId="0" fontId="52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20" borderId="0" applyNumberFormat="0" applyBorder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55" fillId="14" borderId="0" applyNumberFormat="0" applyBorder="0" applyAlignment="0" applyProtection="0"/>
    <xf numFmtId="0" fontId="55" fillId="21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55" fillId="15" borderId="0" applyNumberFormat="0" applyBorder="0" applyAlignment="0" applyProtection="0"/>
    <xf numFmtId="0" fontId="55" fillId="22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55" fillId="16" borderId="0" applyNumberFormat="0" applyBorder="0" applyAlignment="0" applyProtection="0"/>
    <xf numFmtId="0" fontId="55" fillId="23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55" fillId="17" borderId="0" applyNumberFormat="0" applyBorder="0" applyAlignment="0" applyProtection="0"/>
    <xf numFmtId="0" fontId="55" fillId="24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55" fillId="18" borderId="0" applyNumberFormat="0" applyBorder="0" applyAlignment="0" applyProtection="0"/>
    <xf numFmtId="0" fontId="55" fillId="2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55" fillId="19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103">
    <xf numFmtId="0" fontId="0" fillId="0" borderId="0" xfId="0"/>
    <xf numFmtId="0" fontId="20" fillId="0" borderId="0" xfId="0" applyFont="1" applyBorder="1"/>
    <xf numFmtId="1" fontId="20" fillId="0" borderId="0" xfId="0" applyNumberFormat="1" applyFont="1" applyBorder="1" applyAlignment="1">
      <alignment horizontal="center"/>
    </xf>
    <xf numFmtId="165" fontId="20" fillId="0" borderId="0" xfId="0" applyNumberFormat="1" applyFont="1" applyBorder="1" applyAlignment="1">
      <alignment horizontal="center"/>
    </xf>
    <xf numFmtId="0" fontId="21" fillId="0" borderId="0" xfId="0" applyFont="1" applyBorder="1"/>
    <xf numFmtId="0" fontId="20" fillId="0" borderId="0" xfId="0" applyFont="1" applyBorder="1" applyAlignment="1">
      <alignment horizontal="left"/>
    </xf>
    <xf numFmtId="0" fontId="20" fillId="0" borderId="0" xfId="0" applyFont="1"/>
    <xf numFmtId="164" fontId="20" fillId="0" borderId="0" xfId="0" applyNumberFormat="1" applyFont="1" applyFill="1" applyBorder="1" applyAlignment="1">
      <alignment horizontal="right"/>
    </xf>
    <xf numFmtId="4" fontId="20" fillId="0" borderId="0" xfId="0" applyNumberFormat="1" applyFont="1" applyFill="1" applyBorder="1" applyAlignment="1">
      <alignment horizontal="right"/>
    </xf>
    <xf numFmtId="1" fontId="20" fillId="0" borderId="0" xfId="0" applyNumberFormat="1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  <xf numFmtId="4" fontId="20" fillId="0" borderId="0" xfId="0" quotePrefix="1" applyNumberFormat="1" applyFont="1" applyBorder="1" applyAlignment="1">
      <alignment horizontal="center"/>
    </xf>
    <xf numFmtId="4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14" fontId="20" fillId="0" borderId="0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 wrapText="1"/>
    </xf>
    <xf numFmtId="165" fontId="20" fillId="0" borderId="1" xfId="0" applyNumberFormat="1" applyFont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1" fontId="21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wrapText="1"/>
    </xf>
    <xf numFmtId="14" fontId="39" fillId="0" borderId="0" xfId="37" applyNumberFormat="1" applyFont="1" applyAlignment="1">
      <alignment horizontal="center"/>
    </xf>
    <xf numFmtId="0" fontId="39" fillId="0" borderId="0" xfId="37" applyFont="1" applyAlignment="1">
      <alignment horizontal="center"/>
    </xf>
    <xf numFmtId="49" fontId="39" fillId="0" borderId="0" xfId="37" applyNumberFormat="1" applyFont="1" applyAlignment="1">
      <alignment horizontal="center"/>
    </xf>
    <xf numFmtId="0" fontId="39" fillId="0" borderId="0" xfId="39" applyFont="1"/>
    <xf numFmtId="0" fontId="40" fillId="0" borderId="0" xfId="0" applyFont="1"/>
    <xf numFmtId="0" fontId="39" fillId="0" borderId="0" xfId="40" applyFont="1" applyAlignment="1">
      <alignment horizontal="center"/>
    </xf>
    <xf numFmtId="49" fontId="39" fillId="0" borderId="0" xfId="40" applyNumberFormat="1" applyFont="1" applyAlignment="1">
      <alignment horizontal="center"/>
    </xf>
    <xf numFmtId="14" fontId="39" fillId="0" borderId="0" xfId="40" applyNumberFormat="1" applyFont="1" applyAlignment="1">
      <alignment horizontal="center"/>
    </xf>
    <xf numFmtId="0" fontId="39" fillId="0" borderId="0" xfId="0" applyFont="1"/>
    <xf numFmtId="2" fontId="39" fillId="0" borderId="0" xfId="38" applyNumberFormat="1" applyFont="1" applyAlignment="1">
      <alignment horizontal="right"/>
    </xf>
    <xf numFmtId="164" fontId="39" fillId="0" borderId="0" xfId="38" applyNumberFormat="1" applyFont="1" applyAlignment="1">
      <alignment horizontal="right"/>
    </xf>
    <xf numFmtId="164" fontId="20" fillId="0" borderId="0" xfId="0" applyNumberFormat="1" applyFont="1" applyBorder="1" applyAlignment="1">
      <alignment horizontal="right"/>
    </xf>
    <xf numFmtId="4" fontId="39" fillId="0" borderId="0" xfId="41" applyNumberFormat="1" applyFont="1" applyAlignment="1">
      <alignment horizontal="right"/>
    </xf>
    <xf numFmtId="164" fontId="39" fillId="0" borderId="0" xfId="41" applyNumberFormat="1" applyFont="1" applyAlignment="1">
      <alignment horizontal="right"/>
    </xf>
    <xf numFmtId="0" fontId="39" fillId="0" borderId="0" xfId="43" applyFont="1"/>
    <xf numFmtId="4" fontId="39" fillId="0" borderId="0" xfId="0" applyNumberFormat="1" applyFont="1"/>
    <xf numFmtId="164" fontId="39" fillId="0" borderId="0" xfId="0" applyNumberFormat="1" applyFont="1"/>
    <xf numFmtId="14" fontId="39" fillId="0" borderId="0" xfId="0" applyNumberFormat="1" applyFont="1" applyAlignment="1">
      <alignment horizontal="center"/>
    </xf>
    <xf numFmtId="0" fontId="39" fillId="0" borderId="0" xfId="127" applyFont="1"/>
    <xf numFmtId="0" fontId="39" fillId="0" borderId="0" xfId="141" applyFont="1"/>
    <xf numFmtId="0" fontId="39" fillId="0" borderId="0" xfId="155" applyFont="1"/>
    <xf numFmtId="0" fontId="39" fillId="0" borderId="0" xfId="169" applyFont="1"/>
    <xf numFmtId="0" fontId="39" fillId="0" borderId="0" xfId="169" applyFont="1" applyAlignment="1">
      <alignment horizontal="center"/>
    </xf>
    <xf numFmtId="49" fontId="39" fillId="0" borderId="0" xfId="169" applyNumberFormat="1" applyFont="1" applyAlignment="1">
      <alignment horizontal="center"/>
    </xf>
    <xf numFmtId="14" fontId="39" fillId="0" borderId="0" xfId="169" applyNumberFormat="1" applyFont="1" applyAlignment="1">
      <alignment horizontal="center"/>
    </xf>
    <xf numFmtId="4" fontId="39" fillId="0" borderId="0" xfId="169" applyNumberFormat="1" applyFont="1"/>
    <xf numFmtId="164" fontId="39" fillId="0" borderId="0" xfId="169" applyNumberFormat="1" applyFont="1"/>
    <xf numFmtId="0" fontId="39" fillId="0" borderId="0" xfId="183" applyFont="1"/>
    <xf numFmtId="0" fontId="39" fillId="0" borderId="0" xfId="294" applyFont="1"/>
    <xf numFmtId="0" fontId="20" fillId="0" borderId="0" xfId="0" applyFont="1" applyBorder="1" applyAlignment="1">
      <alignment horizontal="center" wrapText="1"/>
    </xf>
    <xf numFmtId="1" fontId="20" fillId="0" borderId="0" xfId="0" applyNumberFormat="1" applyFont="1" applyBorder="1" applyAlignment="1">
      <alignment horizontal="center" wrapText="1"/>
    </xf>
    <xf numFmtId="165" fontId="20" fillId="0" borderId="0" xfId="0" applyNumberFormat="1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wrapText="1"/>
    </xf>
    <xf numFmtId="49" fontId="20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/>
    <xf numFmtId="49" fontId="20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Alignment="1"/>
    <xf numFmtId="0" fontId="20" fillId="0" borderId="1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4" fontId="20" fillId="0" borderId="0" xfId="0" applyNumberFormat="1" applyFont="1" applyBorder="1" applyAlignment="1">
      <alignment horizontal="left"/>
    </xf>
    <xf numFmtId="49" fontId="20" fillId="0" borderId="1" xfId="0" applyNumberFormat="1" applyFont="1" applyBorder="1" applyAlignment="1">
      <alignment horizontal="left" vertical="center"/>
    </xf>
    <xf numFmtId="0" fontId="39" fillId="0" borderId="0" xfId="322" applyFont="1"/>
    <xf numFmtId="0" fontId="40" fillId="0" borderId="0" xfId="0" applyFont="1" applyAlignment="1">
      <alignment vertical="center"/>
    </xf>
    <xf numFmtId="0" fontId="39" fillId="0" borderId="0" xfId="350" applyFont="1"/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6" fillId="0" borderId="0" xfId="0" applyFont="1"/>
    <xf numFmtId="3" fontId="20" fillId="0" borderId="11" xfId="0" applyNumberFormat="1" applyFont="1" applyBorder="1" applyAlignment="1">
      <alignment horizontal="left"/>
    </xf>
    <xf numFmtId="4" fontId="20" fillId="0" borderId="11" xfId="0" applyNumberFormat="1" applyFont="1" applyBorder="1" applyAlignment="1">
      <alignment horizontal="right"/>
    </xf>
    <xf numFmtId="164" fontId="20" fillId="0" borderId="11" xfId="0" applyNumberFormat="1" applyFont="1" applyBorder="1" applyAlignment="1">
      <alignment horizontal="right"/>
    </xf>
    <xf numFmtId="2" fontId="39" fillId="0" borderId="0" xfId="392" applyNumberFormat="1" applyFont="1"/>
    <xf numFmtId="0" fontId="39" fillId="0" borderId="0" xfId="392" applyFont="1" applyAlignment="1">
      <alignment horizontal="center"/>
    </xf>
    <xf numFmtId="14" fontId="39" fillId="0" borderId="0" xfId="392" applyNumberFormat="1" applyFont="1" applyAlignment="1">
      <alignment horizontal="center"/>
    </xf>
    <xf numFmtId="49" fontId="39" fillId="0" borderId="0" xfId="392" applyNumberFormat="1" applyFont="1" applyAlignment="1">
      <alignment horizontal="center"/>
    </xf>
    <xf numFmtId="0" fontId="39" fillId="0" borderId="0" xfId="392" applyFont="1"/>
    <xf numFmtId="164" fontId="39" fillId="0" borderId="0" xfId="392" applyNumberFormat="1" applyFont="1"/>
    <xf numFmtId="0" fontId="39" fillId="0" borderId="0" xfId="392" applyFont="1"/>
    <xf numFmtId="0" fontId="39" fillId="0" borderId="0" xfId="392" applyFont="1"/>
    <xf numFmtId="0" fontId="39" fillId="0" borderId="0" xfId="392" applyFont="1" applyAlignment="1">
      <alignment horizontal="center"/>
    </xf>
    <xf numFmtId="49" fontId="39" fillId="0" borderId="0" xfId="392" applyNumberFormat="1" applyFont="1" applyAlignment="1">
      <alignment horizontal="center"/>
    </xf>
    <xf numFmtId="14" fontId="39" fillId="0" borderId="0" xfId="392" applyNumberFormat="1" applyFont="1" applyAlignment="1">
      <alignment horizontal="center"/>
    </xf>
    <xf numFmtId="2" fontId="39" fillId="0" borderId="0" xfId="392" applyNumberFormat="1" applyFont="1"/>
    <xf numFmtId="164" fontId="39" fillId="0" borderId="0" xfId="392" applyNumberFormat="1" applyFont="1"/>
    <xf numFmtId="0" fontId="39" fillId="0" borderId="0" xfId="392" applyFont="1" applyAlignment="1">
      <alignment horizontal="center"/>
    </xf>
    <xf numFmtId="49" fontId="39" fillId="0" borderId="0" xfId="392" applyNumberFormat="1" applyFont="1" applyAlignment="1">
      <alignment horizontal="center"/>
    </xf>
    <xf numFmtId="14" fontId="39" fillId="0" borderId="0" xfId="392" applyNumberFormat="1" applyFont="1" applyAlignment="1">
      <alignment horizontal="center"/>
    </xf>
    <xf numFmtId="2" fontId="39" fillId="0" borderId="0" xfId="392" applyNumberFormat="1" applyFont="1"/>
    <xf numFmtId="164" fontId="39" fillId="0" borderId="0" xfId="392" applyNumberFormat="1" applyFont="1"/>
    <xf numFmtId="0" fontId="39" fillId="0" borderId="0" xfId="392" applyFont="1" applyAlignment="1">
      <alignment horizontal="center"/>
    </xf>
    <xf numFmtId="49" fontId="39" fillId="0" borderId="0" xfId="392" applyNumberFormat="1" applyFont="1" applyAlignment="1">
      <alignment horizontal="center"/>
    </xf>
    <xf numFmtId="14" fontId="39" fillId="0" borderId="0" xfId="392" applyNumberFormat="1" applyFont="1" applyAlignment="1">
      <alignment horizontal="center"/>
    </xf>
    <xf numFmtId="2" fontId="39" fillId="0" borderId="0" xfId="392" applyNumberFormat="1" applyFont="1"/>
    <xf numFmtId="164" fontId="39" fillId="0" borderId="0" xfId="392" applyNumberFormat="1" applyFont="1"/>
  </cellXfs>
  <cellStyles count="406">
    <cellStyle name="20% - Accent1" xfId="1" builtinId="30" customBuiltin="1"/>
    <cellStyle name="20% - Accent1 10" xfId="227"/>
    <cellStyle name="20% - Accent1 11" xfId="241"/>
    <cellStyle name="20% - Accent1 12" xfId="271"/>
    <cellStyle name="20% - Accent1 13" xfId="296"/>
    <cellStyle name="20% - Accent1 14" xfId="310"/>
    <cellStyle name="20% - Accent1 15" xfId="324"/>
    <cellStyle name="20% - Accent1 16" xfId="338"/>
    <cellStyle name="20% - Accent1 17" xfId="352"/>
    <cellStyle name="20% - Accent1 18" xfId="366"/>
    <cellStyle name="20% - Accent1 19" xfId="380"/>
    <cellStyle name="20% - Accent1 2" xfId="115"/>
    <cellStyle name="20% - Accent1 20" xfId="394"/>
    <cellStyle name="20% - Accent1 3" xfId="129"/>
    <cellStyle name="20% - Accent1 4" xfId="143"/>
    <cellStyle name="20% - Accent1 5" xfId="157"/>
    <cellStyle name="20% - Accent1 6" xfId="171"/>
    <cellStyle name="20% - Accent1 7" xfId="185"/>
    <cellStyle name="20% - Accent1 8" xfId="199"/>
    <cellStyle name="20% - Accent1 9" xfId="213"/>
    <cellStyle name="20% - Accent2" xfId="2" builtinId="34" customBuiltin="1"/>
    <cellStyle name="20% - Accent2 10" xfId="229"/>
    <cellStyle name="20% - Accent2 11" xfId="243"/>
    <cellStyle name="20% - Accent2 12" xfId="275"/>
    <cellStyle name="20% - Accent2 13" xfId="298"/>
    <cellStyle name="20% - Accent2 14" xfId="312"/>
    <cellStyle name="20% - Accent2 15" xfId="326"/>
    <cellStyle name="20% - Accent2 16" xfId="340"/>
    <cellStyle name="20% - Accent2 17" xfId="354"/>
    <cellStyle name="20% - Accent2 18" xfId="368"/>
    <cellStyle name="20% - Accent2 19" xfId="382"/>
    <cellStyle name="20% - Accent2 2" xfId="117"/>
    <cellStyle name="20% - Accent2 20" xfId="396"/>
    <cellStyle name="20% - Accent2 3" xfId="131"/>
    <cellStyle name="20% - Accent2 4" xfId="145"/>
    <cellStyle name="20% - Accent2 5" xfId="159"/>
    <cellStyle name="20% - Accent2 6" xfId="173"/>
    <cellStyle name="20% - Accent2 7" xfId="187"/>
    <cellStyle name="20% - Accent2 8" xfId="201"/>
    <cellStyle name="20% - Accent2 9" xfId="215"/>
    <cellStyle name="20% - Accent3" xfId="3" builtinId="38" customBuiltin="1"/>
    <cellStyle name="20% - Accent3 10" xfId="231"/>
    <cellStyle name="20% - Accent3 11" xfId="245"/>
    <cellStyle name="20% - Accent3 12" xfId="279"/>
    <cellStyle name="20% - Accent3 13" xfId="300"/>
    <cellStyle name="20% - Accent3 14" xfId="314"/>
    <cellStyle name="20% - Accent3 15" xfId="328"/>
    <cellStyle name="20% - Accent3 16" xfId="342"/>
    <cellStyle name="20% - Accent3 17" xfId="356"/>
    <cellStyle name="20% - Accent3 18" xfId="370"/>
    <cellStyle name="20% - Accent3 19" xfId="384"/>
    <cellStyle name="20% - Accent3 2" xfId="119"/>
    <cellStyle name="20% - Accent3 20" xfId="398"/>
    <cellStyle name="20% - Accent3 3" xfId="133"/>
    <cellStyle name="20% - Accent3 4" xfId="147"/>
    <cellStyle name="20% - Accent3 5" xfId="161"/>
    <cellStyle name="20% - Accent3 6" xfId="175"/>
    <cellStyle name="20% - Accent3 7" xfId="189"/>
    <cellStyle name="20% - Accent3 8" xfId="203"/>
    <cellStyle name="20% - Accent3 9" xfId="217"/>
    <cellStyle name="20% - Accent4" xfId="4" builtinId="42" customBuiltin="1"/>
    <cellStyle name="20% - Accent4 10" xfId="233"/>
    <cellStyle name="20% - Accent4 11" xfId="247"/>
    <cellStyle name="20% - Accent4 12" xfId="283"/>
    <cellStyle name="20% - Accent4 13" xfId="302"/>
    <cellStyle name="20% - Accent4 14" xfId="316"/>
    <cellStyle name="20% - Accent4 15" xfId="330"/>
    <cellStyle name="20% - Accent4 16" xfId="344"/>
    <cellStyle name="20% - Accent4 17" xfId="358"/>
    <cellStyle name="20% - Accent4 18" xfId="372"/>
    <cellStyle name="20% - Accent4 19" xfId="386"/>
    <cellStyle name="20% - Accent4 2" xfId="121"/>
    <cellStyle name="20% - Accent4 20" xfId="400"/>
    <cellStyle name="20% - Accent4 3" xfId="135"/>
    <cellStyle name="20% - Accent4 4" xfId="149"/>
    <cellStyle name="20% - Accent4 5" xfId="163"/>
    <cellStyle name="20% - Accent4 6" xfId="177"/>
    <cellStyle name="20% - Accent4 7" xfId="191"/>
    <cellStyle name="20% - Accent4 8" xfId="205"/>
    <cellStyle name="20% - Accent4 9" xfId="219"/>
    <cellStyle name="20% - Accent5" xfId="5" builtinId="46" customBuiltin="1"/>
    <cellStyle name="20% - Accent5 10" xfId="235"/>
    <cellStyle name="20% - Accent5 11" xfId="249"/>
    <cellStyle name="20% - Accent5 12" xfId="287"/>
    <cellStyle name="20% - Accent5 13" xfId="304"/>
    <cellStyle name="20% - Accent5 14" xfId="318"/>
    <cellStyle name="20% - Accent5 15" xfId="332"/>
    <cellStyle name="20% - Accent5 16" xfId="346"/>
    <cellStyle name="20% - Accent5 17" xfId="360"/>
    <cellStyle name="20% - Accent5 18" xfId="374"/>
    <cellStyle name="20% - Accent5 19" xfId="388"/>
    <cellStyle name="20% - Accent5 2" xfId="123"/>
    <cellStyle name="20% - Accent5 20" xfId="402"/>
    <cellStyle name="20% - Accent5 3" xfId="137"/>
    <cellStyle name="20% - Accent5 4" xfId="151"/>
    <cellStyle name="20% - Accent5 5" xfId="165"/>
    <cellStyle name="20% - Accent5 6" xfId="179"/>
    <cellStyle name="20% - Accent5 7" xfId="193"/>
    <cellStyle name="20% - Accent5 8" xfId="207"/>
    <cellStyle name="20% - Accent5 9" xfId="221"/>
    <cellStyle name="20% - Accent6" xfId="6" builtinId="50" customBuiltin="1"/>
    <cellStyle name="20% - Accent6 10" xfId="237"/>
    <cellStyle name="20% - Accent6 11" xfId="251"/>
    <cellStyle name="20% - Accent6 12" xfId="291"/>
    <cellStyle name="20% - Accent6 13" xfId="306"/>
    <cellStyle name="20% - Accent6 14" xfId="320"/>
    <cellStyle name="20% - Accent6 15" xfId="334"/>
    <cellStyle name="20% - Accent6 16" xfId="348"/>
    <cellStyle name="20% - Accent6 17" xfId="362"/>
    <cellStyle name="20% - Accent6 18" xfId="376"/>
    <cellStyle name="20% - Accent6 19" xfId="390"/>
    <cellStyle name="20% - Accent6 2" xfId="125"/>
    <cellStyle name="20% - Accent6 20" xfId="404"/>
    <cellStyle name="20% - Accent6 3" xfId="139"/>
    <cellStyle name="20% - Accent6 4" xfId="153"/>
    <cellStyle name="20% - Accent6 5" xfId="167"/>
    <cellStyle name="20% - Accent6 6" xfId="181"/>
    <cellStyle name="20% - Accent6 7" xfId="195"/>
    <cellStyle name="20% - Accent6 8" xfId="209"/>
    <cellStyle name="20% - Accent6 9" xfId="223"/>
    <cellStyle name="40% - Accent1" xfId="7" builtinId="31" customBuiltin="1"/>
    <cellStyle name="40% - Accent1 10" xfId="228"/>
    <cellStyle name="40% - Accent1 11" xfId="242"/>
    <cellStyle name="40% - Accent1 12" xfId="272"/>
    <cellStyle name="40% - Accent1 13" xfId="297"/>
    <cellStyle name="40% - Accent1 14" xfId="311"/>
    <cellStyle name="40% - Accent1 15" xfId="325"/>
    <cellStyle name="40% - Accent1 16" xfId="339"/>
    <cellStyle name="40% - Accent1 17" xfId="353"/>
    <cellStyle name="40% - Accent1 18" xfId="367"/>
    <cellStyle name="40% - Accent1 19" xfId="381"/>
    <cellStyle name="40% - Accent1 2" xfId="116"/>
    <cellStyle name="40% - Accent1 20" xfId="395"/>
    <cellStyle name="40% - Accent1 3" xfId="130"/>
    <cellStyle name="40% - Accent1 4" xfId="144"/>
    <cellStyle name="40% - Accent1 5" xfId="158"/>
    <cellStyle name="40% - Accent1 6" xfId="172"/>
    <cellStyle name="40% - Accent1 7" xfId="186"/>
    <cellStyle name="40% - Accent1 8" xfId="200"/>
    <cellStyle name="40% - Accent1 9" xfId="214"/>
    <cellStyle name="40% - Accent2" xfId="8" builtinId="35" customBuiltin="1"/>
    <cellStyle name="40% - Accent2 10" xfId="230"/>
    <cellStyle name="40% - Accent2 11" xfId="244"/>
    <cellStyle name="40% - Accent2 12" xfId="276"/>
    <cellStyle name="40% - Accent2 13" xfId="299"/>
    <cellStyle name="40% - Accent2 14" xfId="313"/>
    <cellStyle name="40% - Accent2 15" xfId="327"/>
    <cellStyle name="40% - Accent2 16" xfId="341"/>
    <cellStyle name="40% - Accent2 17" xfId="355"/>
    <cellStyle name="40% - Accent2 18" xfId="369"/>
    <cellStyle name="40% - Accent2 19" xfId="383"/>
    <cellStyle name="40% - Accent2 2" xfId="118"/>
    <cellStyle name="40% - Accent2 20" xfId="397"/>
    <cellStyle name="40% - Accent2 3" xfId="132"/>
    <cellStyle name="40% - Accent2 4" xfId="146"/>
    <cellStyle name="40% - Accent2 5" xfId="160"/>
    <cellStyle name="40% - Accent2 6" xfId="174"/>
    <cellStyle name="40% - Accent2 7" xfId="188"/>
    <cellStyle name="40% - Accent2 8" xfId="202"/>
    <cellStyle name="40% - Accent2 9" xfId="216"/>
    <cellStyle name="40% - Accent3" xfId="9" builtinId="39" customBuiltin="1"/>
    <cellStyle name="40% - Accent3 10" xfId="232"/>
    <cellStyle name="40% - Accent3 11" xfId="246"/>
    <cellStyle name="40% - Accent3 12" xfId="280"/>
    <cellStyle name="40% - Accent3 13" xfId="301"/>
    <cellStyle name="40% - Accent3 14" xfId="315"/>
    <cellStyle name="40% - Accent3 15" xfId="329"/>
    <cellStyle name="40% - Accent3 16" xfId="343"/>
    <cellStyle name="40% - Accent3 17" xfId="357"/>
    <cellStyle name="40% - Accent3 18" xfId="371"/>
    <cellStyle name="40% - Accent3 19" xfId="385"/>
    <cellStyle name="40% - Accent3 2" xfId="120"/>
    <cellStyle name="40% - Accent3 20" xfId="399"/>
    <cellStyle name="40% - Accent3 3" xfId="134"/>
    <cellStyle name="40% - Accent3 4" xfId="148"/>
    <cellStyle name="40% - Accent3 5" xfId="162"/>
    <cellStyle name="40% - Accent3 6" xfId="176"/>
    <cellStyle name="40% - Accent3 7" xfId="190"/>
    <cellStyle name="40% - Accent3 8" xfId="204"/>
    <cellStyle name="40% - Accent3 9" xfId="218"/>
    <cellStyle name="40% - Accent4" xfId="10" builtinId="43" customBuiltin="1"/>
    <cellStyle name="40% - Accent4 10" xfId="234"/>
    <cellStyle name="40% - Accent4 11" xfId="248"/>
    <cellStyle name="40% - Accent4 12" xfId="284"/>
    <cellStyle name="40% - Accent4 13" xfId="303"/>
    <cellStyle name="40% - Accent4 14" xfId="317"/>
    <cellStyle name="40% - Accent4 15" xfId="331"/>
    <cellStyle name="40% - Accent4 16" xfId="345"/>
    <cellStyle name="40% - Accent4 17" xfId="359"/>
    <cellStyle name="40% - Accent4 18" xfId="373"/>
    <cellStyle name="40% - Accent4 19" xfId="387"/>
    <cellStyle name="40% - Accent4 2" xfId="122"/>
    <cellStyle name="40% - Accent4 20" xfId="401"/>
    <cellStyle name="40% - Accent4 3" xfId="136"/>
    <cellStyle name="40% - Accent4 4" xfId="150"/>
    <cellStyle name="40% - Accent4 5" xfId="164"/>
    <cellStyle name="40% - Accent4 6" xfId="178"/>
    <cellStyle name="40% - Accent4 7" xfId="192"/>
    <cellStyle name="40% - Accent4 8" xfId="206"/>
    <cellStyle name="40% - Accent4 9" xfId="220"/>
    <cellStyle name="40% - Accent5" xfId="11" builtinId="47" customBuiltin="1"/>
    <cellStyle name="40% - Accent5 10" xfId="236"/>
    <cellStyle name="40% - Accent5 11" xfId="250"/>
    <cellStyle name="40% - Accent5 12" xfId="288"/>
    <cellStyle name="40% - Accent5 13" xfId="305"/>
    <cellStyle name="40% - Accent5 14" xfId="319"/>
    <cellStyle name="40% - Accent5 15" xfId="333"/>
    <cellStyle name="40% - Accent5 16" xfId="347"/>
    <cellStyle name="40% - Accent5 17" xfId="361"/>
    <cellStyle name="40% - Accent5 18" xfId="375"/>
    <cellStyle name="40% - Accent5 19" xfId="389"/>
    <cellStyle name="40% - Accent5 2" xfId="124"/>
    <cellStyle name="40% - Accent5 20" xfId="403"/>
    <cellStyle name="40% - Accent5 3" xfId="138"/>
    <cellStyle name="40% - Accent5 4" xfId="152"/>
    <cellStyle name="40% - Accent5 5" xfId="166"/>
    <cellStyle name="40% - Accent5 6" xfId="180"/>
    <cellStyle name="40% - Accent5 7" xfId="194"/>
    <cellStyle name="40% - Accent5 8" xfId="208"/>
    <cellStyle name="40% - Accent5 9" xfId="222"/>
    <cellStyle name="40% - Accent6" xfId="12" builtinId="51" customBuiltin="1"/>
    <cellStyle name="40% - Accent6 10" xfId="238"/>
    <cellStyle name="40% - Accent6 11" xfId="252"/>
    <cellStyle name="40% - Accent6 12" xfId="292"/>
    <cellStyle name="40% - Accent6 13" xfId="307"/>
    <cellStyle name="40% - Accent6 14" xfId="321"/>
    <cellStyle name="40% - Accent6 15" xfId="335"/>
    <cellStyle name="40% - Accent6 16" xfId="349"/>
    <cellStyle name="40% - Accent6 17" xfId="363"/>
    <cellStyle name="40% - Accent6 18" xfId="377"/>
    <cellStyle name="40% - Accent6 19" xfId="391"/>
    <cellStyle name="40% - Accent6 2" xfId="126"/>
    <cellStyle name="40% - Accent6 20" xfId="405"/>
    <cellStyle name="40% - Accent6 3" xfId="140"/>
    <cellStyle name="40% - Accent6 4" xfId="154"/>
    <cellStyle name="40% - Accent6 5" xfId="168"/>
    <cellStyle name="40% - Accent6 6" xfId="182"/>
    <cellStyle name="40% - Accent6 7" xfId="196"/>
    <cellStyle name="40% - Accent6 8" xfId="210"/>
    <cellStyle name="40% - Accent6 9" xfId="224"/>
    <cellStyle name="60% - Accent1" xfId="13" builtinId="32" customBuiltin="1"/>
    <cellStyle name="60% - Accent1 2" xfId="273"/>
    <cellStyle name="60% - Accent2" xfId="14" builtinId="36" customBuiltin="1"/>
    <cellStyle name="60% - Accent2 2" xfId="277"/>
    <cellStyle name="60% - Accent3" xfId="15" builtinId="40" customBuiltin="1"/>
    <cellStyle name="60% - Accent3 2" xfId="281"/>
    <cellStyle name="60% - Accent4" xfId="16" builtinId="44" customBuiltin="1"/>
    <cellStyle name="60% - Accent4 2" xfId="285"/>
    <cellStyle name="60% - Accent5" xfId="17" builtinId="48" customBuiltin="1"/>
    <cellStyle name="60% - Accent5 2" xfId="289"/>
    <cellStyle name="60% - Accent6" xfId="18" builtinId="52" customBuiltin="1"/>
    <cellStyle name="60% - Accent6 2" xfId="293"/>
    <cellStyle name="Accent1" xfId="19" builtinId="29" customBuiltin="1"/>
    <cellStyle name="Accent1 2" xfId="270"/>
    <cellStyle name="Accent2" xfId="20" builtinId="33" customBuiltin="1"/>
    <cellStyle name="Accent2 2" xfId="274"/>
    <cellStyle name="Accent3" xfId="21" builtinId="37" customBuiltin="1"/>
    <cellStyle name="Accent3 2" xfId="278"/>
    <cellStyle name="Accent4" xfId="22" builtinId="41" customBuiltin="1"/>
    <cellStyle name="Accent4 2" xfId="282"/>
    <cellStyle name="Accent5" xfId="23" builtinId="45" customBuiltin="1"/>
    <cellStyle name="Accent5 2" xfId="286"/>
    <cellStyle name="Accent6" xfId="24" builtinId="49" customBuiltin="1"/>
    <cellStyle name="Accent6 2" xfId="290"/>
    <cellStyle name="Bad" xfId="25" builtinId="27" customBuiltin="1"/>
    <cellStyle name="Bad 2" xfId="259"/>
    <cellStyle name="Calculation" xfId="26" builtinId="22" customBuiltin="1"/>
    <cellStyle name="Calculation 2" xfId="263"/>
    <cellStyle name="Check Cell" xfId="27" builtinId="23" customBuiltin="1"/>
    <cellStyle name="Check Cell 2" xfId="265"/>
    <cellStyle name="Explanatory Text" xfId="28" builtinId="53" customBuiltin="1"/>
    <cellStyle name="Explanatory Text 2" xfId="268"/>
    <cellStyle name="Good" xfId="29" builtinId="26" customBuiltin="1"/>
    <cellStyle name="Good 2" xfId="258"/>
    <cellStyle name="Heading 1" xfId="30" builtinId="16" customBuiltin="1"/>
    <cellStyle name="Heading 1 2" xfId="254"/>
    <cellStyle name="Heading 2" xfId="31" builtinId="17" customBuiltin="1"/>
    <cellStyle name="Heading 2 2" xfId="255"/>
    <cellStyle name="Heading 3" xfId="32" builtinId="18" customBuiltin="1"/>
    <cellStyle name="Heading 3 2" xfId="256"/>
    <cellStyle name="Heading 4" xfId="33" builtinId="19" customBuiltin="1"/>
    <cellStyle name="Heading 4 2" xfId="257"/>
    <cellStyle name="Input" xfId="34" builtinId="20" customBuiltin="1"/>
    <cellStyle name="Input 2" xfId="261"/>
    <cellStyle name="Linked Cell" xfId="35" builtinId="24" customBuiltin="1"/>
    <cellStyle name="Linked Cell 2" xfId="264"/>
    <cellStyle name="Neutral" xfId="36" builtinId="28" customBuiltin="1"/>
    <cellStyle name="Neutral 2" xfId="260"/>
    <cellStyle name="Normal" xfId="0" builtinId="0"/>
    <cellStyle name="Normal 10" xfId="225"/>
    <cellStyle name="Normal 11" xfId="239"/>
    <cellStyle name="Normal 12" xfId="253"/>
    <cellStyle name="Normal 13" xfId="294"/>
    <cellStyle name="Normal 14" xfId="308"/>
    <cellStyle name="Normal 15" xfId="322"/>
    <cellStyle name="Normal 16" xfId="336"/>
    <cellStyle name="Normal 17" xfId="350"/>
    <cellStyle name="Normal 18" xfId="364"/>
    <cellStyle name="Normal 19" xfId="378"/>
    <cellStyle name="Normal 2" xfId="113"/>
    <cellStyle name="Normal 20" xfId="392"/>
    <cellStyle name="Normal 3" xfId="127"/>
    <cellStyle name="Normal 30" xfId="37"/>
    <cellStyle name="Normal 31" xfId="38"/>
    <cellStyle name="Normal 4" xfId="141"/>
    <cellStyle name="Normal 5" xfId="155"/>
    <cellStyle name="Normal 53" xfId="39"/>
    <cellStyle name="Normal 58" xfId="40"/>
    <cellStyle name="Normal 59" xfId="41"/>
    <cellStyle name="Normal 6" xfId="169"/>
    <cellStyle name="Normal 61" xfId="42"/>
    <cellStyle name="Normal 66" xfId="43"/>
    <cellStyle name="Normal 7" xfId="183"/>
    <cellStyle name="Normal 8" xfId="197"/>
    <cellStyle name="Normal 9" xfId="211"/>
    <cellStyle name="Note 10" xfId="44"/>
    <cellStyle name="Note 11" xfId="45"/>
    <cellStyle name="Note 12" xfId="46"/>
    <cellStyle name="Note 13" xfId="47"/>
    <cellStyle name="Note 14" xfId="48"/>
    <cellStyle name="Note 15" xfId="49"/>
    <cellStyle name="Note 16" xfId="50"/>
    <cellStyle name="Note 17" xfId="51"/>
    <cellStyle name="Note 18" xfId="52"/>
    <cellStyle name="Note 19" xfId="53"/>
    <cellStyle name="Note 2" xfId="54"/>
    <cellStyle name="Note 20" xfId="55"/>
    <cellStyle name="Note 21" xfId="56"/>
    <cellStyle name="Note 22" xfId="57"/>
    <cellStyle name="Note 23" xfId="58"/>
    <cellStyle name="Note 24" xfId="59"/>
    <cellStyle name="Note 25" xfId="60"/>
    <cellStyle name="Note 26" xfId="61"/>
    <cellStyle name="Note 27" xfId="62"/>
    <cellStyle name="Note 28" xfId="63"/>
    <cellStyle name="Note 29" xfId="64"/>
    <cellStyle name="Note 3" xfId="65"/>
    <cellStyle name="Note 30" xfId="66"/>
    <cellStyle name="Note 31" xfId="67"/>
    <cellStyle name="Note 32" xfId="68"/>
    <cellStyle name="Note 33" xfId="69"/>
    <cellStyle name="Note 34" xfId="70"/>
    <cellStyle name="Note 35" xfId="71"/>
    <cellStyle name="Note 36" xfId="72"/>
    <cellStyle name="Note 37" xfId="73"/>
    <cellStyle name="Note 38" xfId="74"/>
    <cellStyle name="Note 39" xfId="75"/>
    <cellStyle name="Note 4" xfId="76"/>
    <cellStyle name="Note 40" xfId="77"/>
    <cellStyle name="Note 41" xfId="78"/>
    <cellStyle name="Note 42" xfId="79"/>
    <cellStyle name="Note 43" xfId="80"/>
    <cellStyle name="Note 44" xfId="81"/>
    <cellStyle name="Note 45" xfId="82"/>
    <cellStyle name="Note 46" xfId="83"/>
    <cellStyle name="Note 47" xfId="84"/>
    <cellStyle name="Note 48" xfId="85"/>
    <cellStyle name="Note 49" xfId="86"/>
    <cellStyle name="Note 5" xfId="87"/>
    <cellStyle name="Note 50" xfId="88"/>
    <cellStyle name="Note 51" xfId="89"/>
    <cellStyle name="Note 52" xfId="90"/>
    <cellStyle name="Note 53" xfId="91"/>
    <cellStyle name="Note 54" xfId="92"/>
    <cellStyle name="Note 55" xfId="93"/>
    <cellStyle name="Note 56" xfId="94"/>
    <cellStyle name="Note 57" xfId="95"/>
    <cellStyle name="Note 58" xfId="96"/>
    <cellStyle name="Note 59" xfId="97"/>
    <cellStyle name="Note 6" xfId="98"/>
    <cellStyle name="Note 60" xfId="99"/>
    <cellStyle name="Note 61" xfId="100"/>
    <cellStyle name="Note 62" xfId="101"/>
    <cellStyle name="Note 63" xfId="102"/>
    <cellStyle name="Note 64" xfId="103"/>
    <cellStyle name="Note 65" xfId="104"/>
    <cellStyle name="Note 66" xfId="105"/>
    <cellStyle name="Note 67" xfId="114"/>
    <cellStyle name="Note 68" xfId="128"/>
    <cellStyle name="Note 69" xfId="142"/>
    <cellStyle name="Note 7" xfId="106"/>
    <cellStyle name="Note 70" xfId="156"/>
    <cellStyle name="Note 71" xfId="170"/>
    <cellStyle name="Note 72" xfId="184"/>
    <cellStyle name="Note 73" xfId="198"/>
    <cellStyle name="Note 74" xfId="212"/>
    <cellStyle name="Note 75" xfId="226"/>
    <cellStyle name="Note 76" xfId="240"/>
    <cellStyle name="Note 77" xfId="267"/>
    <cellStyle name="Note 78" xfId="295"/>
    <cellStyle name="Note 79" xfId="309"/>
    <cellStyle name="Note 8" xfId="107"/>
    <cellStyle name="Note 80" xfId="323"/>
    <cellStyle name="Note 81" xfId="337"/>
    <cellStyle name="Note 82" xfId="351"/>
    <cellStyle name="Note 83" xfId="365"/>
    <cellStyle name="Note 84" xfId="379"/>
    <cellStyle name="Note 85" xfId="393"/>
    <cellStyle name="Note 9" xfId="108"/>
    <cellStyle name="Output" xfId="109" builtinId="21" customBuiltin="1"/>
    <cellStyle name="Output 2" xfId="262"/>
    <cellStyle name="Title" xfId="110" builtinId="15" customBuiltin="1"/>
    <cellStyle name="Total" xfId="111" builtinId="25" customBuiltin="1"/>
    <cellStyle name="Total 2" xfId="269"/>
    <cellStyle name="Warning Text" xfId="112" builtinId="11" customBuiltin="1"/>
    <cellStyle name="Warning Text 2" xfId="2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1"/>
  <sheetViews>
    <sheetView tabSelected="1" view="pageLayout" zoomScale="75" zoomScaleNormal="80" zoomScaleSheetLayoutView="80" zoomScalePageLayoutView="75" workbookViewId="0"/>
  </sheetViews>
  <sheetFormatPr defaultColWidth="9.109375" defaultRowHeight="15" x14ac:dyDescent="0.25"/>
  <cols>
    <col min="1" max="1" width="15.33203125" style="1" customWidth="1"/>
    <col min="2" max="2" width="10.5546875" style="2" bestFit="1" customWidth="1"/>
    <col min="3" max="3" width="10.33203125" style="2" customWidth="1"/>
    <col min="4" max="5" width="14" style="3" customWidth="1"/>
    <col min="6" max="6" width="34" style="1" customWidth="1"/>
    <col min="7" max="7" width="30.109375" style="5" customWidth="1"/>
    <col min="8" max="8" width="15" style="57" customWidth="1"/>
    <col min="9" max="9" width="14.109375" style="57" customWidth="1"/>
    <col min="10" max="10" width="14.33203125" style="57" customWidth="1"/>
    <col min="11" max="11" width="17" style="57" customWidth="1"/>
    <col min="12" max="16384" width="9.109375" style="1"/>
  </cols>
  <sheetData>
    <row r="1" spans="1:11" ht="30" customHeight="1" x14ac:dyDescent="0.25">
      <c r="A1" s="16" t="s">
        <v>50</v>
      </c>
      <c r="B1" s="17" t="s">
        <v>45</v>
      </c>
      <c r="C1" s="17" t="s">
        <v>36</v>
      </c>
      <c r="D1" s="18" t="s">
        <v>1</v>
      </c>
      <c r="E1" s="18" t="s">
        <v>21</v>
      </c>
      <c r="F1" s="19" t="s">
        <v>51</v>
      </c>
      <c r="G1" s="20" t="s">
        <v>49</v>
      </c>
      <c r="H1" s="56" t="s">
        <v>35</v>
      </c>
      <c r="I1" s="56" t="s">
        <v>34</v>
      </c>
      <c r="J1" s="56" t="s">
        <v>40</v>
      </c>
      <c r="K1" s="56" t="s">
        <v>52</v>
      </c>
    </row>
    <row r="2" spans="1:11" s="4" customFormat="1" ht="22.5" customHeight="1" x14ac:dyDescent="0.3">
      <c r="A2" s="60"/>
      <c r="B2" s="11"/>
      <c r="C2" s="11"/>
      <c r="D2" s="11"/>
      <c r="E2" s="11"/>
      <c r="F2" s="66" t="s">
        <v>3</v>
      </c>
      <c r="G2" s="61"/>
      <c r="H2" s="61"/>
      <c r="I2" s="61"/>
      <c r="J2" s="61"/>
      <c r="K2" s="61"/>
    </row>
    <row r="3" spans="1:11" ht="15" customHeight="1" x14ac:dyDescent="0.25">
      <c r="A3" s="1" t="str">
        <f t="shared" ref="A3:A36" si="0">LOOKUP(B3,$B$122:$B$136,$C$122:$C$136)</f>
        <v>Wrangell</v>
      </c>
      <c r="B3" s="88">
        <v>100522</v>
      </c>
      <c r="C3" s="89" t="s">
        <v>121</v>
      </c>
      <c r="D3" s="90">
        <v>39217</v>
      </c>
      <c r="E3" s="90">
        <v>41578</v>
      </c>
      <c r="F3" s="1" t="s">
        <v>5</v>
      </c>
      <c r="G3" s="1" t="s">
        <v>53</v>
      </c>
      <c r="H3" s="91">
        <v>4637.17</v>
      </c>
      <c r="I3" s="91">
        <v>3558.13</v>
      </c>
      <c r="J3" s="91">
        <v>1079.04</v>
      </c>
      <c r="K3" s="92">
        <v>10843.98</v>
      </c>
    </row>
    <row r="4" spans="1:11" ht="15" customHeight="1" x14ac:dyDescent="0.25">
      <c r="A4" s="1" t="str">
        <f t="shared" si="0"/>
        <v>Ketchikan</v>
      </c>
      <c r="B4" s="88">
        <v>100552</v>
      </c>
      <c r="C4" s="89" t="s">
        <v>122</v>
      </c>
      <c r="D4" s="90">
        <v>40442</v>
      </c>
      <c r="E4" s="90">
        <v>41943</v>
      </c>
      <c r="F4" s="1" t="s">
        <v>5</v>
      </c>
      <c r="G4" s="38" t="s">
        <v>91</v>
      </c>
      <c r="H4" s="91">
        <v>1905.71</v>
      </c>
      <c r="I4" s="91">
        <v>1905.71</v>
      </c>
      <c r="J4" s="91">
        <v>0</v>
      </c>
      <c r="K4" s="92">
        <v>0</v>
      </c>
    </row>
    <row r="5" spans="1:11" ht="15" customHeight="1" x14ac:dyDescent="0.25">
      <c r="A5" s="1" t="str">
        <f t="shared" si="0"/>
        <v>Wrangell</v>
      </c>
      <c r="B5" s="88">
        <v>100522</v>
      </c>
      <c r="C5" s="89" t="s">
        <v>123</v>
      </c>
      <c r="D5" s="90">
        <v>40799</v>
      </c>
      <c r="E5" s="90">
        <v>42674</v>
      </c>
      <c r="F5" s="1" t="s">
        <v>5</v>
      </c>
      <c r="G5" s="44" t="s">
        <v>106</v>
      </c>
      <c r="H5" s="91">
        <v>25904</v>
      </c>
      <c r="I5" s="91">
        <v>5806.68</v>
      </c>
      <c r="J5" s="91">
        <v>20097.32</v>
      </c>
      <c r="K5" s="92">
        <v>932242.09</v>
      </c>
    </row>
    <row r="6" spans="1:11" ht="15" customHeight="1" x14ac:dyDescent="0.25">
      <c r="A6" s="1" t="str">
        <f t="shared" si="0"/>
        <v>Thorne Bay</v>
      </c>
      <c r="B6" s="88">
        <v>100554</v>
      </c>
      <c r="C6" s="89" t="s">
        <v>124</v>
      </c>
      <c r="D6" s="90">
        <v>40805</v>
      </c>
      <c r="E6" s="90">
        <v>42308</v>
      </c>
      <c r="F6" s="1" t="s">
        <v>5</v>
      </c>
      <c r="G6" s="44" t="s">
        <v>107</v>
      </c>
      <c r="H6" s="91">
        <v>7557</v>
      </c>
      <c r="I6" s="91">
        <v>0</v>
      </c>
      <c r="J6" s="91">
        <v>7557</v>
      </c>
      <c r="K6" s="92">
        <v>345068.58</v>
      </c>
    </row>
    <row r="7" spans="1:11" ht="15" customHeight="1" x14ac:dyDescent="0.25">
      <c r="A7" s="1" t="str">
        <f t="shared" si="0"/>
        <v>Wrangell</v>
      </c>
      <c r="B7" s="88">
        <v>100522</v>
      </c>
      <c r="C7" s="89" t="s">
        <v>125</v>
      </c>
      <c r="D7" s="90">
        <v>38657</v>
      </c>
      <c r="E7" s="90">
        <v>42500</v>
      </c>
      <c r="F7" s="1" t="s">
        <v>5</v>
      </c>
      <c r="G7" s="1" t="s">
        <v>37</v>
      </c>
      <c r="H7" s="91">
        <v>18640.91</v>
      </c>
      <c r="I7" s="91">
        <v>9588.15</v>
      </c>
      <c r="J7" s="91">
        <v>9052.76</v>
      </c>
      <c r="K7" s="92">
        <v>72305.789999999994</v>
      </c>
    </row>
    <row r="8" spans="1:11" ht="15" customHeight="1" x14ac:dyDescent="0.25">
      <c r="A8" s="1" t="str">
        <f t="shared" si="0"/>
        <v>Wrangell</v>
      </c>
      <c r="B8" s="88">
        <v>100522</v>
      </c>
      <c r="C8" s="89" t="s">
        <v>247</v>
      </c>
      <c r="D8" s="90">
        <v>41380</v>
      </c>
      <c r="E8" s="90">
        <v>42674</v>
      </c>
      <c r="F8" s="1" t="s">
        <v>5</v>
      </c>
      <c r="G8" s="1" t="s">
        <v>245</v>
      </c>
      <c r="H8" s="91">
        <v>3452</v>
      </c>
      <c r="I8" s="91">
        <v>0</v>
      </c>
      <c r="J8" s="91">
        <v>3452</v>
      </c>
      <c r="K8" s="92">
        <v>32020.63</v>
      </c>
    </row>
    <row r="9" spans="1:11" ht="15" customHeight="1" x14ac:dyDescent="0.25">
      <c r="A9" s="1" t="str">
        <f t="shared" si="0"/>
        <v>Sitka</v>
      </c>
      <c r="B9" s="88">
        <v>100531</v>
      </c>
      <c r="C9" s="89" t="s">
        <v>126</v>
      </c>
      <c r="D9" s="90">
        <v>40883</v>
      </c>
      <c r="E9" s="90">
        <v>41578</v>
      </c>
      <c r="F9" s="43" t="s">
        <v>96</v>
      </c>
      <c r="G9" s="51" t="s">
        <v>110</v>
      </c>
      <c r="H9" s="91">
        <v>19</v>
      </c>
      <c r="I9" s="91">
        <v>0</v>
      </c>
      <c r="J9" s="91">
        <v>19</v>
      </c>
      <c r="K9" s="92">
        <v>403.99</v>
      </c>
    </row>
    <row r="10" spans="1:11" ht="15" customHeight="1" x14ac:dyDescent="0.25">
      <c r="A10" s="1" t="str">
        <f t="shared" si="0"/>
        <v>Hoonah</v>
      </c>
      <c r="B10" s="88">
        <v>100532</v>
      </c>
      <c r="C10" s="89" t="s">
        <v>127</v>
      </c>
      <c r="D10" s="90">
        <v>40729</v>
      </c>
      <c r="E10" s="90">
        <v>41943</v>
      </c>
      <c r="F10" s="43" t="s">
        <v>96</v>
      </c>
      <c r="G10" s="43" t="s">
        <v>97</v>
      </c>
      <c r="H10" s="91">
        <v>401</v>
      </c>
      <c r="I10" s="91">
        <v>401</v>
      </c>
      <c r="J10" s="91">
        <v>0</v>
      </c>
      <c r="K10" s="92">
        <v>0</v>
      </c>
    </row>
    <row r="11" spans="1:11" ht="15" customHeight="1" x14ac:dyDescent="0.25">
      <c r="A11" s="1" t="str">
        <f t="shared" si="0"/>
        <v>Juneau</v>
      </c>
      <c r="B11" s="88">
        <v>100533</v>
      </c>
      <c r="C11" s="89" t="s">
        <v>128</v>
      </c>
      <c r="D11" s="90">
        <v>40737</v>
      </c>
      <c r="E11" s="90">
        <v>41805</v>
      </c>
      <c r="F11" s="43" t="s">
        <v>96</v>
      </c>
      <c r="G11" s="43" t="s">
        <v>98</v>
      </c>
      <c r="H11" s="91">
        <v>52</v>
      </c>
      <c r="I11" s="91">
        <v>0</v>
      </c>
      <c r="J11" s="91">
        <v>52</v>
      </c>
      <c r="K11" s="92">
        <v>204.94</v>
      </c>
    </row>
    <row r="12" spans="1:11" ht="15" customHeight="1" x14ac:dyDescent="0.25">
      <c r="A12" s="1" t="str">
        <f t="shared" si="0"/>
        <v>Thorne Bay</v>
      </c>
      <c r="B12" s="88">
        <v>100554</v>
      </c>
      <c r="C12" s="89" t="s">
        <v>215</v>
      </c>
      <c r="D12" s="90">
        <v>41226</v>
      </c>
      <c r="E12" s="90">
        <v>41621</v>
      </c>
      <c r="F12" s="32" t="s">
        <v>109</v>
      </c>
      <c r="G12" s="32" t="s">
        <v>211</v>
      </c>
      <c r="H12" s="91">
        <v>10</v>
      </c>
      <c r="I12" s="91">
        <v>10</v>
      </c>
      <c r="J12" s="91">
        <v>0</v>
      </c>
      <c r="K12" s="92">
        <v>0</v>
      </c>
    </row>
    <row r="13" spans="1:11" ht="15" customHeight="1" x14ac:dyDescent="0.25">
      <c r="A13" s="1" t="str">
        <f t="shared" si="0"/>
        <v>Sitka</v>
      </c>
      <c r="B13" s="88">
        <v>100531</v>
      </c>
      <c r="C13" s="89" t="s">
        <v>260</v>
      </c>
      <c r="D13" s="90">
        <v>41445</v>
      </c>
      <c r="E13" s="90">
        <v>43921</v>
      </c>
      <c r="F13" s="32" t="s">
        <v>256</v>
      </c>
      <c r="G13" s="32" t="s">
        <v>257</v>
      </c>
      <c r="H13" s="91">
        <v>7582</v>
      </c>
      <c r="I13" s="91">
        <v>0</v>
      </c>
      <c r="J13" s="91">
        <v>7582</v>
      </c>
      <c r="K13" s="92">
        <v>37948</v>
      </c>
    </row>
    <row r="14" spans="1:11" ht="15" customHeight="1" x14ac:dyDescent="0.25">
      <c r="A14" s="1" t="str">
        <f t="shared" si="0"/>
        <v>Ketchikan</v>
      </c>
      <c r="B14" s="88">
        <v>100552</v>
      </c>
      <c r="C14" s="89" t="s">
        <v>231</v>
      </c>
      <c r="D14" s="90">
        <v>41317</v>
      </c>
      <c r="E14" s="90">
        <v>41943</v>
      </c>
      <c r="F14" s="6" t="s">
        <v>226</v>
      </c>
      <c r="G14" s="32" t="s">
        <v>227</v>
      </c>
      <c r="H14" s="91">
        <v>12</v>
      </c>
      <c r="I14" s="91">
        <v>0</v>
      </c>
      <c r="J14" s="91">
        <v>12</v>
      </c>
      <c r="K14" s="92">
        <v>1309.8399999999999</v>
      </c>
    </row>
    <row r="15" spans="1:11" ht="15" customHeight="1" x14ac:dyDescent="0.25">
      <c r="A15" s="1" t="str">
        <f t="shared" si="0"/>
        <v>Wrangell</v>
      </c>
      <c r="B15" s="88">
        <v>100522</v>
      </c>
      <c r="C15" s="89" t="s">
        <v>269</v>
      </c>
      <c r="D15" s="90">
        <v>41355</v>
      </c>
      <c r="E15" s="90">
        <v>41578</v>
      </c>
      <c r="F15" s="6" t="s">
        <v>63</v>
      </c>
      <c r="G15" s="32" t="s">
        <v>266</v>
      </c>
      <c r="H15" s="91">
        <v>2</v>
      </c>
      <c r="I15" s="91">
        <v>0</v>
      </c>
      <c r="J15" s="91">
        <v>2</v>
      </c>
      <c r="K15" s="92">
        <v>88.3</v>
      </c>
    </row>
    <row r="16" spans="1:11" ht="15" customHeight="1" x14ac:dyDescent="0.25">
      <c r="A16" s="1" t="str">
        <f t="shared" si="0"/>
        <v>Wrangell</v>
      </c>
      <c r="B16" s="88">
        <v>100522</v>
      </c>
      <c r="C16" s="89" t="s">
        <v>209</v>
      </c>
      <c r="D16" s="90">
        <v>41177</v>
      </c>
      <c r="E16" s="90">
        <v>41547</v>
      </c>
      <c r="F16" s="6" t="s">
        <v>63</v>
      </c>
      <c r="G16" s="32" t="s">
        <v>207</v>
      </c>
      <c r="H16" s="91">
        <v>4</v>
      </c>
      <c r="I16" s="91">
        <v>0</v>
      </c>
      <c r="J16" s="91">
        <v>4</v>
      </c>
      <c r="K16" s="92">
        <v>364.8</v>
      </c>
    </row>
    <row r="17" spans="1:11" ht="15" customHeight="1" x14ac:dyDescent="0.25">
      <c r="A17" s="1" t="str">
        <f t="shared" si="0"/>
        <v>Wrangell</v>
      </c>
      <c r="B17" s="88">
        <v>100522</v>
      </c>
      <c r="C17" s="89" t="s">
        <v>196</v>
      </c>
      <c r="D17" s="90">
        <v>41177</v>
      </c>
      <c r="E17" s="90">
        <v>41547</v>
      </c>
      <c r="F17" s="6" t="s">
        <v>63</v>
      </c>
      <c r="G17" s="32" t="s">
        <v>182</v>
      </c>
      <c r="H17" s="91">
        <v>8</v>
      </c>
      <c r="I17" s="91">
        <v>0</v>
      </c>
      <c r="J17" s="91">
        <v>8</v>
      </c>
      <c r="K17" s="92">
        <v>729.6</v>
      </c>
    </row>
    <row r="18" spans="1:11" ht="15" customHeight="1" x14ac:dyDescent="0.25">
      <c r="A18" s="1" t="str">
        <f t="shared" si="0"/>
        <v>Thorne Bay</v>
      </c>
      <c r="B18" s="88">
        <v>100554</v>
      </c>
      <c r="C18" s="89" t="s">
        <v>129</v>
      </c>
      <c r="D18" s="90">
        <v>40722</v>
      </c>
      <c r="E18" s="90">
        <v>41117</v>
      </c>
      <c r="F18" s="6" t="s">
        <v>63</v>
      </c>
      <c r="G18" s="6" t="s">
        <v>99</v>
      </c>
      <c r="H18" s="91">
        <v>12</v>
      </c>
      <c r="I18" s="91">
        <v>0</v>
      </c>
      <c r="J18" s="91">
        <v>12</v>
      </c>
      <c r="K18" s="92">
        <v>1512.73</v>
      </c>
    </row>
    <row r="19" spans="1:11" ht="15" customHeight="1" x14ac:dyDescent="0.25">
      <c r="A19" s="1" t="str">
        <f t="shared" si="0"/>
        <v>Hoonah</v>
      </c>
      <c r="B19" s="88">
        <v>100532</v>
      </c>
      <c r="C19" s="89" t="s">
        <v>130</v>
      </c>
      <c r="D19" s="90">
        <v>40393</v>
      </c>
      <c r="E19" s="90">
        <v>41578</v>
      </c>
      <c r="F19" s="32" t="s">
        <v>218</v>
      </c>
      <c r="G19" s="38" t="s">
        <v>89</v>
      </c>
      <c r="H19" s="91">
        <v>137</v>
      </c>
      <c r="I19" s="91">
        <v>0</v>
      </c>
      <c r="J19" s="91">
        <v>137</v>
      </c>
      <c r="K19" s="92">
        <v>4028.86</v>
      </c>
    </row>
    <row r="20" spans="1:11" ht="15" customHeight="1" x14ac:dyDescent="0.25">
      <c r="A20" s="1" t="str">
        <f t="shared" si="0"/>
        <v>Hoonah</v>
      </c>
      <c r="B20" s="88">
        <v>100532</v>
      </c>
      <c r="C20" s="89" t="s">
        <v>197</v>
      </c>
      <c r="D20" s="90">
        <v>41149</v>
      </c>
      <c r="E20" s="90">
        <v>42308</v>
      </c>
      <c r="F20" s="32" t="s">
        <v>218</v>
      </c>
      <c r="G20" s="43" t="s">
        <v>183</v>
      </c>
      <c r="H20" s="91">
        <v>28</v>
      </c>
      <c r="I20" s="91">
        <v>0</v>
      </c>
      <c r="J20" s="91">
        <v>28</v>
      </c>
      <c r="K20" s="92">
        <v>3308.72</v>
      </c>
    </row>
    <row r="21" spans="1:11" ht="15" customHeight="1" x14ac:dyDescent="0.25">
      <c r="A21" s="1" t="str">
        <f t="shared" si="0"/>
        <v>Hoonah</v>
      </c>
      <c r="B21" s="88">
        <v>100532</v>
      </c>
      <c r="C21" s="89" t="s">
        <v>131</v>
      </c>
      <c r="D21" s="90">
        <v>40729</v>
      </c>
      <c r="E21" s="90">
        <v>41943</v>
      </c>
      <c r="F21" s="32" t="s">
        <v>218</v>
      </c>
      <c r="G21" s="43" t="s">
        <v>100</v>
      </c>
      <c r="H21" s="91">
        <v>124</v>
      </c>
      <c r="I21" s="91">
        <v>0</v>
      </c>
      <c r="J21" s="91">
        <v>124</v>
      </c>
      <c r="K21" s="92">
        <v>4087.77</v>
      </c>
    </row>
    <row r="22" spans="1:11" ht="15" customHeight="1" x14ac:dyDescent="0.25">
      <c r="A22" s="1" t="str">
        <f t="shared" si="0"/>
        <v>Hoonah</v>
      </c>
      <c r="B22" s="88">
        <v>100532</v>
      </c>
      <c r="C22" s="89" t="s">
        <v>132</v>
      </c>
      <c r="D22" s="90">
        <v>40729</v>
      </c>
      <c r="E22" s="90">
        <v>41943</v>
      </c>
      <c r="F22" s="32" t="s">
        <v>218</v>
      </c>
      <c r="G22" s="43" t="s">
        <v>101</v>
      </c>
      <c r="H22" s="91">
        <v>446</v>
      </c>
      <c r="I22" s="91">
        <v>180</v>
      </c>
      <c r="J22" s="91">
        <v>266</v>
      </c>
      <c r="K22" s="92">
        <v>1300</v>
      </c>
    </row>
    <row r="23" spans="1:11" ht="15" customHeight="1" x14ac:dyDescent="0.25">
      <c r="A23" s="1" t="str">
        <f t="shared" si="0"/>
        <v>Juneau</v>
      </c>
      <c r="B23" s="88">
        <v>100533</v>
      </c>
      <c r="C23" s="89" t="s">
        <v>133</v>
      </c>
      <c r="D23" s="90">
        <v>39778</v>
      </c>
      <c r="E23" s="90">
        <v>42308</v>
      </c>
      <c r="F23" s="6" t="s">
        <v>75</v>
      </c>
      <c r="G23" s="6" t="s">
        <v>76</v>
      </c>
      <c r="H23" s="91">
        <v>3601</v>
      </c>
      <c r="I23" s="91">
        <v>0</v>
      </c>
      <c r="J23" s="91">
        <v>3601</v>
      </c>
      <c r="K23" s="92">
        <v>181037.1</v>
      </c>
    </row>
    <row r="24" spans="1:11" ht="15" customHeight="1" x14ac:dyDescent="0.25">
      <c r="A24" s="1" t="str">
        <f t="shared" si="0"/>
        <v>Thorne Bay</v>
      </c>
      <c r="B24" s="88">
        <v>100554</v>
      </c>
      <c r="C24" s="89" t="s">
        <v>280</v>
      </c>
      <c r="D24" s="90">
        <v>41527</v>
      </c>
      <c r="E24" s="90">
        <v>41922</v>
      </c>
      <c r="F24" s="86" t="s">
        <v>275</v>
      </c>
      <c r="G24" s="86" t="s">
        <v>276</v>
      </c>
      <c r="H24" s="91">
        <v>3</v>
      </c>
      <c r="I24" s="91">
        <v>0</v>
      </c>
      <c r="J24" s="91">
        <v>3</v>
      </c>
      <c r="K24" s="92">
        <v>153.87</v>
      </c>
    </row>
    <row r="25" spans="1:11" ht="15" customHeight="1" x14ac:dyDescent="0.25">
      <c r="A25" s="1" t="str">
        <f t="shared" si="0"/>
        <v>Thorne Bay</v>
      </c>
      <c r="B25" s="88">
        <v>100554</v>
      </c>
      <c r="C25" s="89" t="s">
        <v>134</v>
      </c>
      <c r="D25" s="90">
        <v>39700</v>
      </c>
      <c r="E25" s="90">
        <v>41821</v>
      </c>
      <c r="F25" s="1" t="s">
        <v>11</v>
      </c>
      <c r="G25" s="1" t="s">
        <v>68</v>
      </c>
      <c r="H25" s="91">
        <v>839.69</v>
      </c>
      <c r="I25" s="91">
        <v>807.1</v>
      </c>
      <c r="J25" s="91">
        <v>32.590000000000003</v>
      </c>
      <c r="K25" s="92">
        <v>2820.72</v>
      </c>
    </row>
    <row r="26" spans="1:11" ht="15" customHeight="1" x14ac:dyDescent="0.25">
      <c r="A26" s="1" t="str">
        <f t="shared" si="0"/>
        <v>Thorne Bay</v>
      </c>
      <c r="B26" s="88">
        <v>100554</v>
      </c>
      <c r="C26" s="89" t="s">
        <v>135</v>
      </c>
      <c r="D26" s="90">
        <v>40400</v>
      </c>
      <c r="E26" s="90">
        <v>41578</v>
      </c>
      <c r="F26" s="1" t="s">
        <v>11</v>
      </c>
      <c r="G26" s="1" t="s">
        <v>92</v>
      </c>
      <c r="H26" s="91">
        <v>291.52</v>
      </c>
      <c r="I26" s="91">
        <v>291.52</v>
      </c>
      <c r="J26" s="91">
        <v>0</v>
      </c>
      <c r="K26" s="92">
        <v>0</v>
      </c>
    </row>
    <row r="27" spans="1:11" ht="15" customHeight="1" x14ac:dyDescent="0.25">
      <c r="A27" s="1" t="str">
        <f t="shared" si="0"/>
        <v>Sitka</v>
      </c>
      <c r="B27" s="88">
        <v>100531</v>
      </c>
      <c r="C27" s="89" t="s">
        <v>270</v>
      </c>
      <c r="D27" s="90">
        <v>41471</v>
      </c>
      <c r="E27" s="90">
        <v>42674</v>
      </c>
      <c r="F27" s="1" t="s">
        <v>219</v>
      </c>
      <c r="G27" s="1" t="s">
        <v>267</v>
      </c>
      <c r="H27" s="91">
        <v>29</v>
      </c>
      <c r="I27" s="91">
        <v>0</v>
      </c>
      <c r="J27" s="91">
        <v>29</v>
      </c>
      <c r="K27" s="92">
        <v>1108.01</v>
      </c>
    </row>
    <row r="28" spans="1:11" ht="15" customHeight="1" x14ac:dyDescent="0.25">
      <c r="A28" s="1" t="str">
        <f t="shared" si="0"/>
        <v>Sitka</v>
      </c>
      <c r="B28" s="88">
        <v>100531</v>
      </c>
      <c r="C28" s="89" t="s">
        <v>136</v>
      </c>
      <c r="D28" s="90">
        <v>39251</v>
      </c>
      <c r="E28" s="90">
        <v>41478</v>
      </c>
      <c r="F28" s="1" t="s">
        <v>219</v>
      </c>
      <c r="G28" s="1" t="s">
        <v>54</v>
      </c>
      <c r="H28" s="91">
        <v>71.290000000000006</v>
      </c>
      <c r="I28" s="91">
        <v>71.290000000000006</v>
      </c>
      <c r="J28" s="91">
        <v>0</v>
      </c>
      <c r="K28" s="92">
        <v>0</v>
      </c>
    </row>
    <row r="29" spans="1:11" ht="15" customHeight="1" x14ac:dyDescent="0.25">
      <c r="A29" s="1" t="str">
        <f t="shared" si="0"/>
        <v>Sitka</v>
      </c>
      <c r="B29" s="88">
        <v>100531</v>
      </c>
      <c r="C29" s="89" t="s">
        <v>137</v>
      </c>
      <c r="D29" s="90">
        <v>40071</v>
      </c>
      <c r="E29" s="90">
        <v>41440</v>
      </c>
      <c r="F29" s="1" t="s">
        <v>219</v>
      </c>
      <c r="G29" s="1" t="s">
        <v>79</v>
      </c>
      <c r="H29" s="91">
        <v>101</v>
      </c>
      <c r="I29" s="91">
        <v>101</v>
      </c>
      <c r="J29" s="91">
        <v>0</v>
      </c>
      <c r="K29" s="92">
        <v>0</v>
      </c>
    </row>
    <row r="30" spans="1:11" ht="15" customHeight="1" x14ac:dyDescent="0.25">
      <c r="A30" s="1" t="str">
        <f t="shared" si="0"/>
        <v>Thorne Bay</v>
      </c>
      <c r="B30" s="88">
        <v>100554</v>
      </c>
      <c r="C30" s="89" t="s">
        <v>138</v>
      </c>
      <c r="D30" s="90">
        <v>39406</v>
      </c>
      <c r="E30" s="90">
        <v>41517</v>
      </c>
      <c r="F30" s="1" t="s">
        <v>33</v>
      </c>
      <c r="G30" s="1" t="s">
        <v>60</v>
      </c>
      <c r="H30" s="91">
        <v>233</v>
      </c>
      <c r="I30" s="91">
        <v>183</v>
      </c>
      <c r="J30" s="91">
        <v>50</v>
      </c>
      <c r="K30" s="92">
        <v>1639.29</v>
      </c>
    </row>
    <row r="31" spans="1:11" ht="15" customHeight="1" x14ac:dyDescent="0.25">
      <c r="A31" s="1" t="str">
        <f t="shared" si="0"/>
        <v>Craig</v>
      </c>
      <c r="B31" s="88">
        <v>100551</v>
      </c>
      <c r="C31" s="89" t="s">
        <v>139</v>
      </c>
      <c r="D31" s="90">
        <v>38643</v>
      </c>
      <c r="E31" s="90">
        <v>41119</v>
      </c>
      <c r="F31" s="1" t="s">
        <v>33</v>
      </c>
      <c r="G31" s="1" t="s">
        <v>26</v>
      </c>
      <c r="H31" s="91">
        <v>144.72999999999999</v>
      </c>
      <c r="I31" s="91">
        <v>144.72999999999999</v>
      </c>
      <c r="J31" s="91">
        <v>0</v>
      </c>
      <c r="K31" s="92">
        <v>0</v>
      </c>
    </row>
    <row r="32" spans="1:11" ht="15" customHeight="1" x14ac:dyDescent="0.25">
      <c r="A32" s="1" t="str">
        <f t="shared" si="0"/>
        <v>Thorne Bay</v>
      </c>
      <c r="B32" s="88">
        <v>100554</v>
      </c>
      <c r="C32" s="89" t="s">
        <v>140</v>
      </c>
      <c r="D32" s="90">
        <v>41009</v>
      </c>
      <c r="E32" s="90">
        <v>42308</v>
      </c>
      <c r="F32" s="1" t="s">
        <v>33</v>
      </c>
      <c r="G32" s="1" t="s">
        <v>113</v>
      </c>
      <c r="H32" s="91">
        <v>625</v>
      </c>
      <c r="I32" s="91">
        <v>0</v>
      </c>
      <c r="J32" s="91">
        <v>625</v>
      </c>
      <c r="K32" s="92">
        <v>38010.26</v>
      </c>
    </row>
    <row r="33" spans="1:11" ht="15" customHeight="1" x14ac:dyDescent="0.25">
      <c r="A33" s="1" t="str">
        <f t="shared" si="0"/>
        <v>Thorne Bay</v>
      </c>
      <c r="B33" s="88">
        <v>100554</v>
      </c>
      <c r="C33" s="89" t="s">
        <v>141</v>
      </c>
      <c r="D33" s="90">
        <v>39063</v>
      </c>
      <c r="E33" s="90">
        <v>41578</v>
      </c>
      <c r="F33" s="1" t="s">
        <v>33</v>
      </c>
      <c r="G33" s="1" t="s">
        <v>48</v>
      </c>
      <c r="H33" s="91">
        <v>684</v>
      </c>
      <c r="I33" s="91">
        <v>216</v>
      </c>
      <c r="J33" s="91">
        <v>468</v>
      </c>
      <c r="K33" s="92">
        <v>28730.91</v>
      </c>
    </row>
    <row r="34" spans="1:11" ht="15" customHeight="1" x14ac:dyDescent="0.25">
      <c r="A34" s="1" t="str">
        <f t="shared" si="0"/>
        <v>Juneau</v>
      </c>
      <c r="B34" s="88">
        <v>100533</v>
      </c>
      <c r="C34" s="89" t="s">
        <v>142</v>
      </c>
      <c r="D34" s="90">
        <v>40263</v>
      </c>
      <c r="E34" s="90">
        <v>41213</v>
      </c>
      <c r="F34" s="23" t="s">
        <v>74</v>
      </c>
      <c r="G34" s="27" t="s">
        <v>84</v>
      </c>
      <c r="H34" s="91">
        <v>80</v>
      </c>
      <c r="I34" s="91">
        <v>80</v>
      </c>
      <c r="J34" s="91">
        <v>0</v>
      </c>
      <c r="K34" s="92">
        <v>0</v>
      </c>
    </row>
    <row r="35" spans="1:11" ht="15" customHeight="1" x14ac:dyDescent="0.25">
      <c r="A35" s="1" t="str">
        <f t="shared" si="0"/>
        <v>Hoonah</v>
      </c>
      <c r="B35" s="88">
        <v>100532</v>
      </c>
      <c r="C35" s="89" t="s">
        <v>143</v>
      </c>
      <c r="D35" s="90">
        <v>39336</v>
      </c>
      <c r="E35" s="90">
        <v>41900</v>
      </c>
      <c r="F35" s="1" t="s">
        <v>7</v>
      </c>
      <c r="G35" s="6" t="s">
        <v>55</v>
      </c>
      <c r="H35" s="91">
        <v>146</v>
      </c>
      <c r="I35" s="91">
        <v>0</v>
      </c>
      <c r="J35" s="91">
        <v>146</v>
      </c>
      <c r="K35" s="92">
        <v>2344.12</v>
      </c>
    </row>
    <row r="36" spans="1:11" ht="15" customHeight="1" x14ac:dyDescent="0.25">
      <c r="A36" s="1" t="str">
        <f t="shared" si="0"/>
        <v>Hoonah</v>
      </c>
      <c r="B36" s="88">
        <v>100532</v>
      </c>
      <c r="C36" s="89" t="s">
        <v>144</v>
      </c>
      <c r="D36" s="90">
        <v>39336</v>
      </c>
      <c r="E36" s="90">
        <v>41900</v>
      </c>
      <c r="F36" s="1" t="s">
        <v>7</v>
      </c>
      <c r="G36" s="6" t="s">
        <v>56</v>
      </c>
      <c r="H36" s="91">
        <v>176</v>
      </c>
      <c r="I36" s="91">
        <v>0</v>
      </c>
      <c r="J36" s="91">
        <v>176</v>
      </c>
      <c r="K36" s="92">
        <v>3124.7</v>
      </c>
    </row>
    <row r="37" spans="1:11" ht="30" customHeight="1" x14ac:dyDescent="0.25">
      <c r="A37" s="16" t="s">
        <v>50</v>
      </c>
      <c r="B37" s="17" t="s">
        <v>45</v>
      </c>
      <c r="C37" s="17" t="s">
        <v>36</v>
      </c>
      <c r="D37" s="18" t="s">
        <v>1</v>
      </c>
      <c r="E37" s="18" t="s">
        <v>21</v>
      </c>
      <c r="F37" s="19" t="s">
        <v>51</v>
      </c>
      <c r="G37" s="20" t="s">
        <v>49</v>
      </c>
      <c r="H37" s="56" t="s">
        <v>35</v>
      </c>
      <c r="I37" s="56" t="s">
        <v>34</v>
      </c>
      <c r="J37" s="56" t="s">
        <v>40</v>
      </c>
      <c r="K37" s="56" t="s">
        <v>52</v>
      </c>
    </row>
    <row r="38" spans="1:11" s="4" customFormat="1" ht="22.5" customHeight="1" x14ac:dyDescent="0.3">
      <c r="A38" s="63"/>
      <c r="B38" s="11"/>
      <c r="C38" s="11"/>
      <c r="D38" s="11"/>
      <c r="E38" s="11"/>
      <c r="F38" s="66" t="s">
        <v>3</v>
      </c>
      <c r="G38" s="61"/>
      <c r="H38" s="61"/>
      <c r="I38" s="61"/>
      <c r="J38" s="61"/>
      <c r="K38" s="61"/>
    </row>
    <row r="40" spans="1:11" ht="15" customHeight="1" x14ac:dyDescent="0.25">
      <c r="A40" s="1" t="str">
        <f t="shared" ref="A40:A71" si="1">LOOKUP(B40,$B$122:$B$136,$C$122:$C$136)</f>
        <v>Hoonah</v>
      </c>
      <c r="B40" s="93">
        <v>100532</v>
      </c>
      <c r="C40" s="94" t="s">
        <v>145</v>
      </c>
      <c r="D40" s="95">
        <v>39973</v>
      </c>
      <c r="E40" s="95">
        <v>41212</v>
      </c>
      <c r="F40" s="1" t="s">
        <v>7</v>
      </c>
      <c r="G40" s="6" t="s">
        <v>78</v>
      </c>
      <c r="H40" s="96">
        <v>279</v>
      </c>
      <c r="I40" s="96">
        <v>279</v>
      </c>
      <c r="J40" s="96">
        <v>0</v>
      </c>
      <c r="K40" s="97">
        <v>0</v>
      </c>
    </row>
    <row r="41" spans="1:11" ht="15" customHeight="1" x14ac:dyDescent="0.25">
      <c r="A41" s="1" t="str">
        <f t="shared" si="1"/>
        <v>Hoonah</v>
      </c>
      <c r="B41" s="93">
        <v>100532</v>
      </c>
      <c r="C41" s="94" t="s">
        <v>146</v>
      </c>
      <c r="D41" s="95">
        <v>38286</v>
      </c>
      <c r="E41" s="95">
        <v>41943</v>
      </c>
      <c r="F41" s="1" t="s">
        <v>7</v>
      </c>
      <c r="G41" s="6" t="s">
        <v>9</v>
      </c>
      <c r="H41" s="96">
        <v>8222.4599999999991</v>
      </c>
      <c r="I41" s="96">
        <v>347.01</v>
      </c>
      <c r="J41" s="96">
        <v>7875.45</v>
      </c>
      <c r="K41" s="97">
        <v>54409.54</v>
      </c>
    </row>
    <row r="42" spans="1:11" ht="15" customHeight="1" x14ac:dyDescent="0.25">
      <c r="A42" s="1" t="str">
        <f t="shared" si="1"/>
        <v>Hoonah</v>
      </c>
      <c r="B42" s="93">
        <v>100532</v>
      </c>
      <c r="C42" s="94" t="s">
        <v>147</v>
      </c>
      <c r="D42" s="95">
        <v>40393</v>
      </c>
      <c r="E42" s="95">
        <v>41578</v>
      </c>
      <c r="F42" s="1" t="s">
        <v>7</v>
      </c>
      <c r="G42" s="6" t="s">
        <v>90</v>
      </c>
      <c r="H42" s="96">
        <v>130</v>
      </c>
      <c r="I42" s="96">
        <v>130</v>
      </c>
      <c r="J42" s="96">
        <v>0</v>
      </c>
      <c r="K42" s="97">
        <v>0</v>
      </c>
    </row>
    <row r="43" spans="1:11" ht="15" customHeight="1" x14ac:dyDescent="0.25">
      <c r="A43" s="1" t="str">
        <f t="shared" si="1"/>
        <v>Hoonah</v>
      </c>
      <c r="B43" s="93">
        <v>100532</v>
      </c>
      <c r="C43" s="94" t="s">
        <v>148</v>
      </c>
      <c r="D43" s="95">
        <v>39693</v>
      </c>
      <c r="E43" s="95">
        <v>41808</v>
      </c>
      <c r="F43" s="1" t="s">
        <v>7</v>
      </c>
      <c r="G43" s="6" t="s">
        <v>69</v>
      </c>
      <c r="H43" s="96">
        <v>104</v>
      </c>
      <c r="I43" s="96">
        <v>0</v>
      </c>
      <c r="J43" s="96">
        <v>104</v>
      </c>
      <c r="K43" s="97">
        <v>2035.23</v>
      </c>
    </row>
    <row r="44" spans="1:11" ht="15" customHeight="1" x14ac:dyDescent="0.25">
      <c r="A44" s="1" t="str">
        <f t="shared" si="1"/>
        <v>Hoonah</v>
      </c>
      <c r="B44" s="93">
        <v>100532</v>
      </c>
      <c r="C44" s="94" t="s">
        <v>149</v>
      </c>
      <c r="D44" s="95">
        <v>39336</v>
      </c>
      <c r="E44" s="95">
        <v>41900</v>
      </c>
      <c r="F44" s="1" t="s">
        <v>7</v>
      </c>
      <c r="G44" s="6" t="s">
        <v>57</v>
      </c>
      <c r="H44" s="96">
        <v>200</v>
      </c>
      <c r="I44" s="96">
        <v>0</v>
      </c>
      <c r="J44" s="96">
        <v>200</v>
      </c>
      <c r="K44" s="97">
        <v>1894.1</v>
      </c>
    </row>
    <row r="45" spans="1:11" ht="15" customHeight="1" x14ac:dyDescent="0.25">
      <c r="A45" s="1" t="str">
        <f t="shared" si="1"/>
        <v>Hoonah</v>
      </c>
      <c r="B45" s="93">
        <v>100532</v>
      </c>
      <c r="C45" s="94" t="s">
        <v>150</v>
      </c>
      <c r="D45" s="95">
        <v>39336</v>
      </c>
      <c r="E45" s="95">
        <v>41900</v>
      </c>
      <c r="F45" s="1" t="s">
        <v>7</v>
      </c>
      <c r="G45" s="6" t="s">
        <v>58</v>
      </c>
      <c r="H45" s="96">
        <v>248</v>
      </c>
      <c r="I45" s="96">
        <v>0</v>
      </c>
      <c r="J45" s="96">
        <v>248</v>
      </c>
      <c r="K45" s="97">
        <v>2565.62</v>
      </c>
    </row>
    <row r="46" spans="1:11" ht="15" customHeight="1" x14ac:dyDescent="0.25">
      <c r="A46" s="1" t="str">
        <f t="shared" si="1"/>
        <v>Hoonah</v>
      </c>
      <c r="B46" s="93">
        <v>100532</v>
      </c>
      <c r="C46" s="94" t="s">
        <v>151</v>
      </c>
      <c r="D46" s="95">
        <v>39609</v>
      </c>
      <c r="E46" s="95">
        <v>41808</v>
      </c>
      <c r="F46" s="1" t="s">
        <v>7</v>
      </c>
      <c r="G46" s="6" t="s">
        <v>65</v>
      </c>
      <c r="H46" s="96">
        <v>247</v>
      </c>
      <c r="I46" s="96">
        <v>0</v>
      </c>
      <c r="J46" s="96">
        <v>247</v>
      </c>
      <c r="K46" s="97">
        <v>3198.89</v>
      </c>
    </row>
    <row r="47" spans="1:11" ht="15" customHeight="1" x14ac:dyDescent="0.25">
      <c r="A47" s="1" t="str">
        <f t="shared" si="1"/>
        <v>Hoonah</v>
      </c>
      <c r="B47" s="93">
        <v>100532</v>
      </c>
      <c r="C47" s="94" t="s">
        <v>152</v>
      </c>
      <c r="D47" s="95">
        <v>40729</v>
      </c>
      <c r="E47" s="95">
        <v>41943</v>
      </c>
      <c r="F47" s="43" t="s">
        <v>102</v>
      </c>
      <c r="G47" s="43" t="s">
        <v>103</v>
      </c>
      <c r="H47" s="96">
        <v>52</v>
      </c>
      <c r="I47" s="96">
        <v>31</v>
      </c>
      <c r="J47" s="96">
        <v>21</v>
      </c>
      <c r="K47" s="97">
        <v>116.76</v>
      </c>
    </row>
    <row r="48" spans="1:11" ht="15" customHeight="1" x14ac:dyDescent="0.25">
      <c r="A48" s="1" t="str">
        <f t="shared" si="1"/>
        <v>Thorne Bay</v>
      </c>
      <c r="B48" s="93">
        <v>100554</v>
      </c>
      <c r="C48" s="94" t="s">
        <v>153</v>
      </c>
      <c r="D48" s="95">
        <v>39637</v>
      </c>
      <c r="E48" s="95">
        <v>41383</v>
      </c>
      <c r="F48" s="1" t="s">
        <v>24</v>
      </c>
      <c r="G48" s="1" t="s">
        <v>67</v>
      </c>
      <c r="H48" s="96">
        <v>289.67</v>
      </c>
      <c r="I48" s="96">
        <v>289.67</v>
      </c>
      <c r="J48" s="96">
        <v>0</v>
      </c>
      <c r="K48" s="97">
        <v>0</v>
      </c>
    </row>
    <row r="49" spans="1:11" ht="15" customHeight="1" x14ac:dyDescent="0.25">
      <c r="A49" s="1" t="str">
        <f t="shared" si="1"/>
        <v>Thorne Bay</v>
      </c>
      <c r="B49" s="93">
        <v>100554</v>
      </c>
      <c r="C49" s="94" t="s">
        <v>154</v>
      </c>
      <c r="D49" s="95">
        <v>39021</v>
      </c>
      <c r="E49" s="95">
        <v>41578</v>
      </c>
      <c r="F49" s="1" t="s">
        <v>24</v>
      </c>
      <c r="G49" s="1" t="s">
        <v>47</v>
      </c>
      <c r="H49" s="96">
        <v>410.14</v>
      </c>
      <c r="I49" s="96">
        <v>217.14</v>
      </c>
      <c r="J49" s="96">
        <v>193</v>
      </c>
      <c r="K49" s="97">
        <v>9665.7999999999993</v>
      </c>
    </row>
    <row r="50" spans="1:11" ht="15" customHeight="1" x14ac:dyDescent="0.25">
      <c r="A50" s="1" t="str">
        <f t="shared" si="1"/>
        <v>Thorne Bay</v>
      </c>
      <c r="B50" s="93">
        <v>100554</v>
      </c>
      <c r="C50" s="94" t="s">
        <v>241</v>
      </c>
      <c r="D50" s="95">
        <v>41345</v>
      </c>
      <c r="E50" s="95">
        <v>42308</v>
      </c>
      <c r="F50" s="1" t="s">
        <v>24</v>
      </c>
      <c r="G50" s="1" t="s">
        <v>235</v>
      </c>
      <c r="H50" s="96">
        <v>1204</v>
      </c>
      <c r="I50" s="96">
        <v>0</v>
      </c>
      <c r="J50" s="96">
        <v>1204</v>
      </c>
      <c r="K50" s="97">
        <v>163127.34</v>
      </c>
    </row>
    <row r="51" spans="1:11" ht="15" customHeight="1" x14ac:dyDescent="0.25">
      <c r="A51" s="1" t="str">
        <f t="shared" si="1"/>
        <v>Petersburg</v>
      </c>
      <c r="B51" s="93">
        <v>100521</v>
      </c>
      <c r="C51" s="94" t="s">
        <v>155</v>
      </c>
      <c r="D51" s="95">
        <v>40827</v>
      </c>
      <c r="E51" s="95">
        <v>41578</v>
      </c>
      <c r="F51" s="51" t="s">
        <v>111</v>
      </c>
      <c r="G51" s="51" t="s">
        <v>112</v>
      </c>
      <c r="H51" s="96">
        <v>47.88</v>
      </c>
      <c r="I51" s="96">
        <v>36.53</v>
      </c>
      <c r="J51" s="96">
        <v>11.35</v>
      </c>
      <c r="K51" s="97">
        <v>377.38</v>
      </c>
    </row>
    <row r="52" spans="1:11" ht="15" customHeight="1" x14ac:dyDescent="0.25">
      <c r="A52" s="1" t="str">
        <f t="shared" si="1"/>
        <v>Petersburg</v>
      </c>
      <c r="B52" s="93">
        <v>100521</v>
      </c>
      <c r="C52" s="94" t="s">
        <v>232</v>
      </c>
      <c r="D52" s="95">
        <v>41289</v>
      </c>
      <c r="E52" s="95">
        <v>41684</v>
      </c>
      <c r="F52" s="51" t="s">
        <v>111</v>
      </c>
      <c r="G52" s="51" t="s">
        <v>228</v>
      </c>
      <c r="H52" s="96">
        <v>16.190000000000001</v>
      </c>
      <c r="I52" s="96">
        <v>15.61</v>
      </c>
      <c r="J52" s="96">
        <v>0.57999999999999996</v>
      </c>
      <c r="K52" s="97">
        <v>26.58</v>
      </c>
    </row>
    <row r="53" spans="1:11" ht="15" customHeight="1" x14ac:dyDescent="0.25">
      <c r="A53" s="1" t="str">
        <f t="shared" si="1"/>
        <v>Thorne Bay</v>
      </c>
      <c r="B53" s="93">
        <v>100554</v>
      </c>
      <c r="C53" s="94" t="s">
        <v>156</v>
      </c>
      <c r="D53" s="95">
        <v>41121</v>
      </c>
      <c r="E53" s="95">
        <v>41516</v>
      </c>
      <c r="F53" s="52" t="s">
        <v>115</v>
      </c>
      <c r="G53" s="52" t="s">
        <v>119</v>
      </c>
      <c r="H53" s="96">
        <v>46.08</v>
      </c>
      <c r="I53" s="96">
        <v>0</v>
      </c>
      <c r="J53" s="96">
        <v>46.08</v>
      </c>
      <c r="K53" s="97">
        <v>2101.25</v>
      </c>
    </row>
    <row r="54" spans="1:11" ht="15" customHeight="1" x14ac:dyDescent="0.25">
      <c r="A54" s="1" t="str">
        <f t="shared" si="1"/>
        <v>Thorne Bay</v>
      </c>
      <c r="B54" s="93">
        <v>100554</v>
      </c>
      <c r="C54" s="94" t="s">
        <v>250</v>
      </c>
      <c r="D54" s="95">
        <v>41422</v>
      </c>
      <c r="E54" s="95">
        <v>41810</v>
      </c>
      <c r="F54" s="52" t="s">
        <v>115</v>
      </c>
      <c r="G54" s="52" t="s">
        <v>249</v>
      </c>
      <c r="H54" s="96">
        <v>29.26</v>
      </c>
      <c r="I54" s="96">
        <v>8</v>
      </c>
      <c r="J54" s="96">
        <v>21.26</v>
      </c>
      <c r="K54" s="97">
        <v>937.47</v>
      </c>
    </row>
    <row r="55" spans="1:11" ht="15" customHeight="1" x14ac:dyDescent="0.25">
      <c r="A55" s="1" t="str">
        <f t="shared" si="1"/>
        <v>Thorne Bay</v>
      </c>
      <c r="B55" s="93">
        <v>100554</v>
      </c>
      <c r="C55" s="94" t="s">
        <v>265</v>
      </c>
      <c r="D55" s="95">
        <v>41457</v>
      </c>
      <c r="E55" s="95">
        <v>41852</v>
      </c>
      <c r="F55" s="52" t="s">
        <v>115</v>
      </c>
      <c r="G55" s="52" t="s">
        <v>264</v>
      </c>
      <c r="H55" s="96">
        <v>19</v>
      </c>
      <c r="I55" s="96">
        <v>0</v>
      </c>
      <c r="J55" s="96">
        <v>19</v>
      </c>
      <c r="K55" s="97">
        <v>838.85</v>
      </c>
    </row>
    <row r="56" spans="1:11" ht="15" customHeight="1" x14ac:dyDescent="0.25">
      <c r="A56" s="1" t="str">
        <f t="shared" si="1"/>
        <v>Thorne Bay</v>
      </c>
      <c r="B56" s="93">
        <v>100554</v>
      </c>
      <c r="C56" s="94" t="s">
        <v>157</v>
      </c>
      <c r="D56" s="95">
        <v>39351</v>
      </c>
      <c r="E56" s="95">
        <v>41578</v>
      </c>
      <c r="F56" s="1" t="s">
        <v>6</v>
      </c>
      <c r="G56" s="1" t="s">
        <v>61</v>
      </c>
      <c r="H56" s="96">
        <v>214</v>
      </c>
      <c r="I56" s="96">
        <v>0</v>
      </c>
      <c r="J56" s="96">
        <v>214</v>
      </c>
      <c r="K56" s="97">
        <v>28273.07</v>
      </c>
    </row>
    <row r="57" spans="1:11" ht="15" customHeight="1" x14ac:dyDescent="0.25">
      <c r="A57" s="1" t="str">
        <f t="shared" si="1"/>
        <v>Thorne Bay</v>
      </c>
      <c r="B57" s="93">
        <v>100554</v>
      </c>
      <c r="C57" s="94" t="s">
        <v>158</v>
      </c>
      <c r="D57" s="95">
        <v>39700</v>
      </c>
      <c r="E57" s="95">
        <v>41578</v>
      </c>
      <c r="F57" s="1" t="s">
        <v>6</v>
      </c>
      <c r="G57" s="1" t="s">
        <v>70</v>
      </c>
      <c r="H57" s="96">
        <v>312</v>
      </c>
      <c r="I57" s="96">
        <v>143</v>
      </c>
      <c r="J57" s="96">
        <v>169</v>
      </c>
      <c r="K57" s="97">
        <v>6641.09</v>
      </c>
    </row>
    <row r="58" spans="1:11" ht="15" customHeight="1" x14ac:dyDescent="0.25">
      <c r="A58" s="1" t="str">
        <f t="shared" si="1"/>
        <v>Ketchikan</v>
      </c>
      <c r="B58" s="93">
        <v>100552</v>
      </c>
      <c r="C58" s="94" t="s">
        <v>159</v>
      </c>
      <c r="D58" s="95">
        <v>41100</v>
      </c>
      <c r="E58" s="95">
        <v>41499</v>
      </c>
      <c r="F58" s="32" t="s">
        <v>178</v>
      </c>
      <c r="G58" s="32" t="s">
        <v>120</v>
      </c>
      <c r="H58" s="96">
        <v>141.79</v>
      </c>
      <c r="I58" s="96">
        <v>124.19</v>
      </c>
      <c r="J58" s="96">
        <v>17.600000000000001</v>
      </c>
      <c r="K58" s="97">
        <v>1024.8</v>
      </c>
    </row>
    <row r="59" spans="1:11" ht="15" customHeight="1" x14ac:dyDescent="0.25">
      <c r="A59" s="1" t="str">
        <f t="shared" si="1"/>
        <v>Petersburg</v>
      </c>
      <c r="B59" s="93">
        <v>100521</v>
      </c>
      <c r="C59" s="94" t="s">
        <v>160</v>
      </c>
      <c r="D59" s="95">
        <v>41051</v>
      </c>
      <c r="E59" s="95">
        <v>41578</v>
      </c>
      <c r="F59" s="52" t="s">
        <v>116</v>
      </c>
      <c r="G59" s="52" t="s">
        <v>117</v>
      </c>
      <c r="H59" s="96">
        <v>13.5</v>
      </c>
      <c r="I59" s="96">
        <v>7.9</v>
      </c>
      <c r="J59" s="96">
        <v>5.6</v>
      </c>
      <c r="K59" s="97">
        <v>114.05</v>
      </c>
    </row>
    <row r="60" spans="1:11" ht="15" customHeight="1" x14ac:dyDescent="0.25">
      <c r="A60" s="1" t="str">
        <f t="shared" si="1"/>
        <v>Craig</v>
      </c>
      <c r="B60" s="93">
        <v>100551</v>
      </c>
      <c r="C60" s="94" t="s">
        <v>210</v>
      </c>
      <c r="D60" s="95">
        <v>41198</v>
      </c>
      <c r="E60" s="95">
        <v>41593</v>
      </c>
      <c r="F60" s="1" t="s">
        <v>28</v>
      </c>
      <c r="G60" s="1" t="s">
        <v>208</v>
      </c>
      <c r="H60" s="96">
        <v>8</v>
      </c>
      <c r="I60" s="96">
        <v>0</v>
      </c>
      <c r="J60" s="96">
        <v>8</v>
      </c>
      <c r="K60" s="97">
        <v>299.16000000000003</v>
      </c>
    </row>
    <row r="61" spans="1:11" ht="15" customHeight="1" x14ac:dyDescent="0.25">
      <c r="A61" s="1" t="str">
        <f t="shared" si="1"/>
        <v>Thorne Bay</v>
      </c>
      <c r="B61" s="93">
        <v>100554</v>
      </c>
      <c r="C61" s="94" t="s">
        <v>198</v>
      </c>
      <c r="D61" s="95">
        <v>41156</v>
      </c>
      <c r="E61" s="95">
        <v>41551</v>
      </c>
      <c r="F61" s="1" t="s">
        <v>28</v>
      </c>
      <c r="G61" s="1" t="s">
        <v>184</v>
      </c>
      <c r="H61" s="96">
        <v>4</v>
      </c>
      <c r="I61" s="96">
        <v>0</v>
      </c>
      <c r="J61" s="96">
        <v>4</v>
      </c>
      <c r="K61" s="97">
        <v>182.4</v>
      </c>
    </row>
    <row r="62" spans="1:11" ht="15" customHeight="1" x14ac:dyDescent="0.3">
      <c r="A62" s="1" t="str">
        <f t="shared" si="1"/>
        <v>Wrangell</v>
      </c>
      <c r="B62" s="93">
        <v>100522</v>
      </c>
      <c r="C62" s="94" t="s">
        <v>261</v>
      </c>
      <c r="D62" s="95">
        <v>41443</v>
      </c>
      <c r="E62" s="95">
        <v>41578</v>
      </c>
      <c r="F62" s="76" t="s">
        <v>77</v>
      </c>
      <c r="G62" s="76" t="s">
        <v>258</v>
      </c>
      <c r="H62" s="96">
        <v>38</v>
      </c>
      <c r="I62" s="96">
        <v>0</v>
      </c>
      <c r="J62" s="96">
        <v>38</v>
      </c>
      <c r="K62" s="97">
        <v>1200.02</v>
      </c>
    </row>
    <row r="63" spans="1:11" ht="15" customHeight="1" x14ac:dyDescent="0.3">
      <c r="A63" s="1" t="str">
        <f t="shared" si="1"/>
        <v>Wrangell</v>
      </c>
      <c r="B63" s="93">
        <v>100522</v>
      </c>
      <c r="C63" s="94" t="s">
        <v>161</v>
      </c>
      <c r="D63" s="95">
        <v>38475</v>
      </c>
      <c r="E63" s="95">
        <v>41406</v>
      </c>
      <c r="F63" s="76" t="s">
        <v>77</v>
      </c>
      <c r="G63" s="76" t="s">
        <v>22</v>
      </c>
      <c r="H63" s="96">
        <v>4509.68</v>
      </c>
      <c r="I63" s="96">
        <v>4016.12</v>
      </c>
      <c r="J63" s="96">
        <v>493.56</v>
      </c>
      <c r="K63" s="97">
        <v>4673.6000000000004</v>
      </c>
    </row>
    <row r="64" spans="1:11" ht="15" customHeight="1" x14ac:dyDescent="0.25">
      <c r="A64" s="1" t="str">
        <f t="shared" si="1"/>
        <v>Ketchikan</v>
      </c>
      <c r="B64" s="93">
        <v>100552</v>
      </c>
      <c r="C64" s="94" t="s">
        <v>162</v>
      </c>
      <c r="D64" s="95">
        <v>38762</v>
      </c>
      <c r="E64" s="95">
        <v>41943</v>
      </c>
      <c r="F64" s="1" t="s">
        <v>4</v>
      </c>
      <c r="G64" s="1" t="s">
        <v>32</v>
      </c>
      <c r="H64" s="96">
        <v>12858.17</v>
      </c>
      <c r="I64" s="96">
        <v>12858.17</v>
      </c>
      <c r="J64" s="96">
        <v>0</v>
      </c>
      <c r="K64" s="97">
        <v>0</v>
      </c>
    </row>
    <row r="65" spans="1:11" ht="15" customHeight="1" x14ac:dyDescent="0.25">
      <c r="A65" s="1" t="str">
        <f t="shared" si="1"/>
        <v>Ketchikan</v>
      </c>
      <c r="B65" s="93">
        <v>100552</v>
      </c>
      <c r="C65" s="94" t="s">
        <v>163</v>
      </c>
      <c r="D65" s="95">
        <v>38272</v>
      </c>
      <c r="E65" s="95">
        <v>40847</v>
      </c>
      <c r="F65" s="1" t="s">
        <v>4</v>
      </c>
      <c r="G65" s="1" t="s">
        <v>10</v>
      </c>
      <c r="H65" s="96">
        <v>14580.4</v>
      </c>
      <c r="I65" s="96">
        <v>14580.4</v>
      </c>
      <c r="J65" s="96">
        <v>0</v>
      </c>
      <c r="K65" s="97">
        <v>0</v>
      </c>
    </row>
    <row r="66" spans="1:11" ht="15" customHeight="1" x14ac:dyDescent="0.25">
      <c r="A66" s="1" t="str">
        <f t="shared" si="1"/>
        <v>Ketchikan</v>
      </c>
      <c r="B66" s="93">
        <v>100552</v>
      </c>
      <c r="C66" s="94" t="s">
        <v>164</v>
      </c>
      <c r="D66" s="95">
        <v>38673</v>
      </c>
      <c r="E66" s="95">
        <v>41943</v>
      </c>
      <c r="F66" s="1" t="s">
        <v>4</v>
      </c>
      <c r="G66" s="1" t="s">
        <v>29</v>
      </c>
      <c r="H66" s="96">
        <v>16494.560000000001</v>
      </c>
      <c r="I66" s="96">
        <v>1473.32</v>
      </c>
      <c r="J66" s="96">
        <v>15021.24</v>
      </c>
      <c r="K66" s="97">
        <v>164828.79999999999</v>
      </c>
    </row>
    <row r="67" spans="1:11" ht="15" customHeight="1" x14ac:dyDescent="0.25">
      <c r="A67" s="1" t="str">
        <f t="shared" si="1"/>
        <v>Thorne Bay</v>
      </c>
      <c r="B67" s="93">
        <v>100554</v>
      </c>
      <c r="C67" s="94" t="s">
        <v>181</v>
      </c>
      <c r="D67" s="95">
        <v>41122</v>
      </c>
      <c r="E67" s="95">
        <v>42308</v>
      </c>
      <c r="F67" s="1" t="s">
        <v>2</v>
      </c>
      <c r="G67" s="32" t="s">
        <v>180</v>
      </c>
      <c r="H67" s="96">
        <v>790</v>
      </c>
      <c r="I67" s="96">
        <v>75.62</v>
      </c>
      <c r="J67" s="96">
        <v>714.38</v>
      </c>
      <c r="K67" s="97">
        <v>42934.87</v>
      </c>
    </row>
    <row r="68" spans="1:11" ht="15" customHeight="1" x14ac:dyDescent="0.25">
      <c r="A68" s="1" t="str">
        <f t="shared" si="1"/>
        <v>Thorne Bay</v>
      </c>
      <c r="B68" s="93">
        <v>100554</v>
      </c>
      <c r="C68" s="94" t="s">
        <v>165</v>
      </c>
      <c r="D68" s="95">
        <v>39406</v>
      </c>
      <c r="E68" s="95">
        <v>41575</v>
      </c>
      <c r="F68" s="1" t="s">
        <v>2</v>
      </c>
      <c r="G68" s="1" t="s">
        <v>62</v>
      </c>
      <c r="H68" s="96">
        <v>140.30000000000001</v>
      </c>
      <c r="I68" s="96">
        <v>126.3</v>
      </c>
      <c r="J68" s="96">
        <v>14</v>
      </c>
      <c r="K68" s="97">
        <v>1086.3599999999999</v>
      </c>
    </row>
    <row r="69" spans="1:11" ht="15" customHeight="1" x14ac:dyDescent="0.25">
      <c r="A69" s="1" t="str">
        <f t="shared" si="1"/>
        <v>Thorne Bay</v>
      </c>
      <c r="B69" s="93">
        <v>100554</v>
      </c>
      <c r="C69" s="94" t="s">
        <v>166</v>
      </c>
      <c r="D69" s="95">
        <v>41002</v>
      </c>
      <c r="E69" s="95">
        <v>41404</v>
      </c>
      <c r="F69" s="1" t="s">
        <v>2</v>
      </c>
      <c r="G69" s="1" t="s">
        <v>114</v>
      </c>
      <c r="H69" s="96">
        <v>45.6</v>
      </c>
      <c r="I69" s="96">
        <v>45.6</v>
      </c>
      <c r="J69" s="96">
        <v>0</v>
      </c>
      <c r="K69" s="97">
        <v>0</v>
      </c>
    </row>
    <row r="70" spans="1:11" ht="15" customHeight="1" x14ac:dyDescent="0.25">
      <c r="A70" s="1" t="str">
        <f t="shared" si="1"/>
        <v>Thorne Bay</v>
      </c>
      <c r="B70" s="93">
        <v>100554</v>
      </c>
      <c r="C70" s="94" t="s">
        <v>199</v>
      </c>
      <c r="D70" s="95">
        <v>41128</v>
      </c>
      <c r="E70" s="95">
        <v>42308</v>
      </c>
      <c r="F70" s="32" t="s">
        <v>185</v>
      </c>
      <c r="G70" s="32" t="s">
        <v>186</v>
      </c>
      <c r="H70" s="96">
        <v>384.18</v>
      </c>
      <c r="I70" s="96">
        <v>243</v>
      </c>
      <c r="J70" s="96">
        <v>141.18</v>
      </c>
      <c r="K70" s="97">
        <v>10945.47</v>
      </c>
    </row>
    <row r="71" spans="1:11" ht="15" customHeight="1" x14ac:dyDescent="0.25">
      <c r="A71" s="1" t="str">
        <f t="shared" si="1"/>
        <v>Thorne Bay</v>
      </c>
      <c r="B71" s="93">
        <v>100554</v>
      </c>
      <c r="C71" s="94" t="s">
        <v>200</v>
      </c>
      <c r="D71" s="95">
        <v>41156</v>
      </c>
      <c r="E71" s="95">
        <v>42308</v>
      </c>
      <c r="F71" s="32" t="s">
        <v>185</v>
      </c>
      <c r="G71" s="32" t="s">
        <v>187</v>
      </c>
      <c r="H71" s="96">
        <v>495</v>
      </c>
      <c r="I71" s="96">
        <v>0</v>
      </c>
      <c r="J71" s="96">
        <v>495</v>
      </c>
      <c r="K71" s="97">
        <v>46133</v>
      </c>
    </row>
    <row r="72" spans="1:11" ht="30" customHeight="1" x14ac:dyDescent="0.25">
      <c r="A72" s="16" t="s">
        <v>50</v>
      </c>
      <c r="B72" s="17" t="s">
        <v>45</v>
      </c>
      <c r="C72" s="17" t="s">
        <v>36</v>
      </c>
      <c r="D72" s="18" t="s">
        <v>1</v>
      </c>
      <c r="E72" s="18" t="s">
        <v>21</v>
      </c>
      <c r="F72" s="19" t="s">
        <v>51</v>
      </c>
      <c r="G72" s="20" t="s">
        <v>49</v>
      </c>
      <c r="H72" s="56" t="s">
        <v>35</v>
      </c>
      <c r="I72" s="56" t="s">
        <v>34</v>
      </c>
      <c r="J72" s="56" t="s">
        <v>40</v>
      </c>
      <c r="K72" s="56" t="s">
        <v>52</v>
      </c>
    </row>
    <row r="73" spans="1:11" s="4" customFormat="1" ht="22.5" customHeight="1" x14ac:dyDescent="0.3">
      <c r="A73" s="63"/>
      <c r="B73" s="11"/>
      <c r="C73" s="11"/>
      <c r="D73" s="11"/>
      <c r="E73" s="11"/>
      <c r="F73" s="66" t="s">
        <v>3</v>
      </c>
      <c r="G73" s="61"/>
      <c r="H73" s="61"/>
      <c r="I73" s="61"/>
      <c r="J73" s="61"/>
      <c r="K73" s="61"/>
    </row>
    <row r="75" spans="1:11" ht="15" customHeight="1" x14ac:dyDescent="0.25">
      <c r="A75" s="1" t="str">
        <f t="shared" ref="A75:A104" si="2">LOOKUP(B75,$B$122:$B$136,$C$122:$C$136)</f>
        <v>Thorne Bay</v>
      </c>
      <c r="B75" s="98">
        <v>100554</v>
      </c>
      <c r="C75" s="99" t="s">
        <v>201</v>
      </c>
      <c r="D75" s="100">
        <v>41142</v>
      </c>
      <c r="E75" s="100">
        <v>42674</v>
      </c>
      <c r="F75" s="32" t="s">
        <v>185</v>
      </c>
      <c r="G75" s="32" t="s">
        <v>188</v>
      </c>
      <c r="H75" s="101">
        <v>1314</v>
      </c>
      <c r="I75" s="101">
        <v>147.35</v>
      </c>
      <c r="J75" s="101">
        <v>1166.6500000000001</v>
      </c>
      <c r="K75" s="102">
        <v>109094.13</v>
      </c>
    </row>
    <row r="76" spans="1:11" ht="15" customHeight="1" x14ac:dyDescent="0.25">
      <c r="A76" s="1" t="str">
        <f t="shared" si="2"/>
        <v>Thorne Bay</v>
      </c>
      <c r="B76" s="98">
        <v>100554</v>
      </c>
      <c r="C76" s="99" t="s">
        <v>202</v>
      </c>
      <c r="D76" s="100">
        <v>41156</v>
      </c>
      <c r="E76" s="100">
        <v>42308</v>
      </c>
      <c r="F76" s="32" t="s">
        <v>185</v>
      </c>
      <c r="G76" s="32" t="s">
        <v>189</v>
      </c>
      <c r="H76" s="101">
        <v>275</v>
      </c>
      <c r="I76" s="101">
        <v>0</v>
      </c>
      <c r="J76" s="101">
        <v>275</v>
      </c>
      <c r="K76" s="102">
        <v>54041.97</v>
      </c>
    </row>
    <row r="77" spans="1:11" ht="15" customHeight="1" x14ac:dyDescent="0.25">
      <c r="A77" s="1" t="str">
        <f t="shared" si="2"/>
        <v>Craig</v>
      </c>
      <c r="B77" s="98">
        <v>100551</v>
      </c>
      <c r="C77" s="99" t="s">
        <v>281</v>
      </c>
      <c r="D77" s="100">
        <v>41485</v>
      </c>
      <c r="E77" s="100">
        <v>41880</v>
      </c>
      <c r="F77" s="87" t="s">
        <v>277</v>
      </c>
      <c r="G77" s="87" t="s">
        <v>278</v>
      </c>
      <c r="H77" s="101">
        <v>1</v>
      </c>
      <c r="I77" s="101">
        <v>0</v>
      </c>
      <c r="J77" s="101">
        <v>1</v>
      </c>
      <c r="K77" s="102">
        <v>156</v>
      </c>
    </row>
    <row r="78" spans="1:11" ht="15" customHeight="1" x14ac:dyDescent="0.25">
      <c r="A78" s="1" t="str">
        <f t="shared" si="2"/>
        <v>Thorne Bay</v>
      </c>
      <c r="B78" s="98">
        <v>100554</v>
      </c>
      <c r="C78" s="99" t="s">
        <v>242</v>
      </c>
      <c r="D78" s="100">
        <v>41338</v>
      </c>
      <c r="E78" s="100">
        <v>41440</v>
      </c>
      <c r="F78" s="70" t="s">
        <v>237</v>
      </c>
      <c r="G78" s="70" t="s">
        <v>238</v>
      </c>
      <c r="H78" s="101">
        <v>58</v>
      </c>
      <c r="I78" s="101">
        <v>58</v>
      </c>
      <c r="J78" s="101">
        <v>0</v>
      </c>
      <c r="K78" s="102">
        <v>0</v>
      </c>
    </row>
    <row r="79" spans="1:11" ht="15" customHeight="1" x14ac:dyDescent="0.25">
      <c r="A79" s="1" t="str">
        <f t="shared" si="2"/>
        <v>Thorne Bay</v>
      </c>
      <c r="B79" s="98">
        <v>100554</v>
      </c>
      <c r="C79" s="99" t="s">
        <v>243</v>
      </c>
      <c r="D79" s="100">
        <v>41338</v>
      </c>
      <c r="E79" s="100">
        <v>41440</v>
      </c>
      <c r="F79" s="70" t="s">
        <v>237</v>
      </c>
      <c r="G79" s="70" t="s">
        <v>239</v>
      </c>
      <c r="H79" s="101">
        <v>16</v>
      </c>
      <c r="I79" s="101">
        <v>16</v>
      </c>
      <c r="J79" s="101">
        <v>0</v>
      </c>
      <c r="K79" s="102">
        <v>0</v>
      </c>
    </row>
    <row r="80" spans="1:11" ht="15" customHeight="1" x14ac:dyDescent="0.25">
      <c r="A80" s="1" t="str">
        <f t="shared" si="2"/>
        <v>Thorne Bay</v>
      </c>
      <c r="B80" s="98">
        <v>100554</v>
      </c>
      <c r="C80" s="99" t="s">
        <v>244</v>
      </c>
      <c r="D80" s="100">
        <v>41338</v>
      </c>
      <c r="E80" s="100">
        <v>41440</v>
      </c>
      <c r="F80" s="70" t="s">
        <v>237</v>
      </c>
      <c r="G80" s="70" t="s">
        <v>240</v>
      </c>
      <c r="H80" s="101">
        <v>11</v>
      </c>
      <c r="I80" s="101">
        <v>11</v>
      </c>
      <c r="J80" s="101">
        <v>0</v>
      </c>
      <c r="K80" s="102">
        <v>0</v>
      </c>
    </row>
    <row r="81" spans="1:11" ht="15" customHeight="1" x14ac:dyDescent="0.25">
      <c r="A81" s="1" t="str">
        <f t="shared" si="2"/>
        <v>Thorne Bay</v>
      </c>
      <c r="B81" s="98">
        <v>100554</v>
      </c>
      <c r="C81" s="99" t="s">
        <v>167</v>
      </c>
      <c r="D81" s="100">
        <v>39665</v>
      </c>
      <c r="E81" s="100">
        <v>41820</v>
      </c>
      <c r="F81" s="6" t="s">
        <v>220</v>
      </c>
      <c r="G81" s="6" t="s">
        <v>71</v>
      </c>
      <c r="H81" s="101">
        <v>244</v>
      </c>
      <c r="I81" s="101">
        <v>194.6</v>
      </c>
      <c r="J81" s="101">
        <v>49.4</v>
      </c>
      <c r="K81" s="102">
        <v>577.6</v>
      </c>
    </row>
    <row r="82" spans="1:11" ht="15" customHeight="1" x14ac:dyDescent="0.25">
      <c r="A82" s="1" t="str">
        <f t="shared" si="2"/>
        <v>Thorne Bay</v>
      </c>
      <c r="B82" s="98">
        <v>100554</v>
      </c>
      <c r="C82" s="99" t="s">
        <v>168</v>
      </c>
      <c r="D82" s="100">
        <v>39665</v>
      </c>
      <c r="E82" s="100">
        <v>41820</v>
      </c>
      <c r="F82" s="6" t="s">
        <v>220</v>
      </c>
      <c r="G82" s="6" t="s">
        <v>72</v>
      </c>
      <c r="H82" s="101">
        <v>249</v>
      </c>
      <c r="I82" s="101">
        <v>226.2</v>
      </c>
      <c r="J82" s="101">
        <v>22.8</v>
      </c>
      <c r="K82" s="102">
        <v>395.2</v>
      </c>
    </row>
    <row r="83" spans="1:11" ht="15" customHeight="1" x14ac:dyDescent="0.25">
      <c r="A83" s="1" t="str">
        <f t="shared" si="2"/>
        <v>Craig</v>
      </c>
      <c r="B83" s="98">
        <v>100551</v>
      </c>
      <c r="C83" s="99" t="s">
        <v>169</v>
      </c>
      <c r="D83" s="100">
        <v>40246</v>
      </c>
      <c r="E83" s="100">
        <v>41818</v>
      </c>
      <c r="F83" s="28" t="s">
        <v>85</v>
      </c>
      <c r="G83" s="28" t="s">
        <v>246</v>
      </c>
      <c r="H83" s="101">
        <v>256</v>
      </c>
      <c r="I83" s="101">
        <v>0</v>
      </c>
      <c r="J83" s="101">
        <v>256</v>
      </c>
      <c r="K83" s="102">
        <v>23320.14</v>
      </c>
    </row>
    <row r="84" spans="1:11" ht="15" customHeight="1" x14ac:dyDescent="0.25">
      <c r="A84" s="1" t="str">
        <f t="shared" si="2"/>
        <v>Thorne Bay</v>
      </c>
      <c r="B84" s="98">
        <v>100554</v>
      </c>
      <c r="C84" s="99" t="s">
        <v>233</v>
      </c>
      <c r="D84" s="100">
        <v>41318</v>
      </c>
      <c r="E84" s="100">
        <v>41943</v>
      </c>
      <c r="F84" s="1" t="s">
        <v>229</v>
      </c>
      <c r="G84" s="1" t="s">
        <v>230</v>
      </c>
      <c r="H84" s="101">
        <v>136</v>
      </c>
      <c r="I84" s="101">
        <v>136</v>
      </c>
      <c r="J84" s="101">
        <v>0</v>
      </c>
      <c r="K84" s="102">
        <v>0</v>
      </c>
    </row>
    <row r="85" spans="1:11" ht="15" customHeight="1" x14ac:dyDescent="0.25">
      <c r="A85" s="1" t="str">
        <f t="shared" si="2"/>
        <v>Hoonah</v>
      </c>
      <c r="B85" s="98">
        <v>100532</v>
      </c>
      <c r="C85" s="99" t="s">
        <v>216</v>
      </c>
      <c r="D85" s="100">
        <v>41149</v>
      </c>
      <c r="E85" s="100">
        <v>42308</v>
      </c>
      <c r="F85" s="23" t="s">
        <v>212</v>
      </c>
      <c r="G85" s="1" t="s">
        <v>213</v>
      </c>
      <c r="H85" s="101">
        <v>198</v>
      </c>
      <c r="I85" s="101">
        <v>0</v>
      </c>
      <c r="J85" s="101">
        <v>198</v>
      </c>
      <c r="K85" s="102">
        <v>15039.82</v>
      </c>
    </row>
    <row r="86" spans="1:11" ht="15" customHeight="1" x14ac:dyDescent="0.25">
      <c r="A86" s="1" t="str">
        <f t="shared" si="2"/>
        <v>Petersburg</v>
      </c>
      <c r="B86" s="98">
        <v>100521</v>
      </c>
      <c r="C86" s="99" t="s">
        <v>224</v>
      </c>
      <c r="D86" s="100">
        <v>41247</v>
      </c>
      <c r="E86" s="100">
        <v>41547</v>
      </c>
      <c r="F86" s="69" t="s">
        <v>222</v>
      </c>
      <c r="G86" s="69" t="s">
        <v>223</v>
      </c>
      <c r="H86" s="101">
        <v>3.3</v>
      </c>
      <c r="I86" s="101">
        <v>0</v>
      </c>
      <c r="J86" s="101">
        <v>3.3</v>
      </c>
      <c r="K86" s="102">
        <v>409.71</v>
      </c>
    </row>
    <row r="87" spans="1:11" ht="15" customHeight="1" x14ac:dyDescent="0.25">
      <c r="A87" s="1" t="str">
        <f t="shared" si="2"/>
        <v>Petersburg</v>
      </c>
      <c r="B87" s="98">
        <v>100521</v>
      </c>
      <c r="C87" s="99" t="s">
        <v>271</v>
      </c>
      <c r="D87" s="100">
        <v>41506</v>
      </c>
      <c r="E87" s="100">
        <v>41901</v>
      </c>
      <c r="F87" s="69" t="s">
        <v>222</v>
      </c>
      <c r="G87" s="69" t="s">
        <v>268</v>
      </c>
      <c r="H87" s="101">
        <v>3</v>
      </c>
      <c r="I87" s="101">
        <v>3</v>
      </c>
      <c r="J87" s="101">
        <v>0</v>
      </c>
      <c r="K87" s="102">
        <v>0</v>
      </c>
    </row>
    <row r="88" spans="1:11" ht="15" customHeight="1" x14ac:dyDescent="0.25">
      <c r="A88" s="1" t="str">
        <f t="shared" si="2"/>
        <v>Hoonah</v>
      </c>
      <c r="B88" s="98">
        <v>100532</v>
      </c>
      <c r="C88" s="99" t="s">
        <v>203</v>
      </c>
      <c r="D88" s="100">
        <v>41149</v>
      </c>
      <c r="E88" s="100">
        <v>42308</v>
      </c>
      <c r="F88" s="32" t="s">
        <v>190</v>
      </c>
      <c r="G88" s="32" t="s">
        <v>191</v>
      </c>
      <c r="H88" s="101">
        <v>31</v>
      </c>
      <c r="I88" s="101">
        <v>0</v>
      </c>
      <c r="J88" s="101">
        <v>31</v>
      </c>
      <c r="K88" s="102">
        <v>149.93</v>
      </c>
    </row>
    <row r="89" spans="1:11" ht="15" customHeight="1" x14ac:dyDescent="0.25">
      <c r="A89" s="1" t="str">
        <f t="shared" si="2"/>
        <v>Thorne Bay</v>
      </c>
      <c r="B89" s="98">
        <v>100554</v>
      </c>
      <c r="C89" s="99" t="s">
        <v>170</v>
      </c>
      <c r="D89" s="100">
        <v>40162</v>
      </c>
      <c r="E89" s="100">
        <v>41943</v>
      </c>
      <c r="F89" s="1" t="s">
        <v>27</v>
      </c>
      <c r="G89" s="1" t="s">
        <v>83</v>
      </c>
      <c r="H89" s="101">
        <v>30688.61</v>
      </c>
      <c r="I89" s="101">
        <v>30680.01</v>
      </c>
      <c r="J89" s="101">
        <v>8.6</v>
      </c>
      <c r="K89" s="102">
        <v>18.059999999999999</v>
      </c>
    </row>
    <row r="90" spans="1:11" ht="15" customHeight="1" x14ac:dyDescent="0.25">
      <c r="A90" s="1" t="str">
        <f t="shared" si="2"/>
        <v>Petersburg</v>
      </c>
      <c r="B90" s="98">
        <v>100521</v>
      </c>
      <c r="C90" s="99" t="s">
        <v>66</v>
      </c>
      <c r="D90" s="100">
        <v>38188</v>
      </c>
      <c r="E90" s="100">
        <v>41578</v>
      </c>
      <c r="F90" s="1" t="s">
        <v>27</v>
      </c>
      <c r="G90" s="1" t="s">
        <v>8</v>
      </c>
      <c r="H90" s="101">
        <v>12228.52</v>
      </c>
      <c r="I90" s="101">
        <v>12228.52</v>
      </c>
      <c r="J90" s="101">
        <v>0</v>
      </c>
      <c r="K90" s="102">
        <v>0</v>
      </c>
    </row>
    <row r="91" spans="1:11" ht="15" customHeight="1" x14ac:dyDescent="0.25">
      <c r="A91" s="1" t="str">
        <f t="shared" si="2"/>
        <v>Petersburg</v>
      </c>
      <c r="B91" s="98">
        <v>100521</v>
      </c>
      <c r="C91" s="99" t="s">
        <v>171</v>
      </c>
      <c r="D91" s="100">
        <v>38664</v>
      </c>
      <c r="E91" s="100">
        <v>41943</v>
      </c>
      <c r="F91" s="1" t="s">
        <v>27</v>
      </c>
      <c r="G91" s="1" t="s">
        <v>30</v>
      </c>
      <c r="H91" s="101">
        <v>23265.38</v>
      </c>
      <c r="I91" s="101">
        <v>17840.009999999998</v>
      </c>
      <c r="J91" s="101">
        <v>5425.37</v>
      </c>
      <c r="K91" s="102">
        <v>63328.06</v>
      </c>
    </row>
    <row r="92" spans="1:11" ht="15" customHeight="1" x14ac:dyDescent="0.25">
      <c r="A92" s="1" t="str">
        <f t="shared" si="2"/>
        <v>Thorne Bay</v>
      </c>
      <c r="B92" s="98">
        <v>100554</v>
      </c>
      <c r="C92" s="99" t="s">
        <v>172</v>
      </c>
      <c r="D92" s="100">
        <v>40448</v>
      </c>
      <c r="E92" s="100">
        <v>42308</v>
      </c>
      <c r="F92" s="1" t="s">
        <v>27</v>
      </c>
      <c r="G92" s="1" t="s">
        <v>93</v>
      </c>
      <c r="H92" s="101">
        <v>31842.73</v>
      </c>
      <c r="I92" s="101">
        <v>31842.73</v>
      </c>
      <c r="J92" s="101">
        <v>0</v>
      </c>
      <c r="K92" s="102">
        <v>0</v>
      </c>
    </row>
    <row r="93" spans="1:11" ht="15" customHeight="1" x14ac:dyDescent="0.25">
      <c r="A93" s="1" t="str">
        <f t="shared" si="2"/>
        <v>Petersburg</v>
      </c>
      <c r="B93" s="98">
        <v>100521</v>
      </c>
      <c r="C93" s="99" t="s">
        <v>204</v>
      </c>
      <c r="D93" s="100">
        <v>41170</v>
      </c>
      <c r="E93" s="100">
        <v>42674</v>
      </c>
      <c r="F93" s="1" t="s">
        <v>27</v>
      </c>
      <c r="G93" s="32" t="s">
        <v>192</v>
      </c>
      <c r="H93" s="101">
        <v>36399</v>
      </c>
      <c r="I93" s="101">
        <v>16946.82</v>
      </c>
      <c r="J93" s="101">
        <v>19452.18</v>
      </c>
      <c r="K93" s="102">
        <v>735295.57</v>
      </c>
    </row>
    <row r="94" spans="1:11" ht="15" customHeight="1" x14ac:dyDescent="0.25">
      <c r="A94" s="1" t="str">
        <f t="shared" si="2"/>
        <v>Juneau</v>
      </c>
      <c r="B94" s="98">
        <v>100533</v>
      </c>
      <c r="C94" s="99" t="s">
        <v>205</v>
      </c>
      <c r="D94" s="100">
        <v>41149</v>
      </c>
      <c r="E94" s="100">
        <v>42308</v>
      </c>
      <c r="F94" s="6" t="s">
        <v>221</v>
      </c>
      <c r="G94" s="32" t="s">
        <v>193</v>
      </c>
      <c r="H94" s="101">
        <v>175</v>
      </c>
      <c r="I94" s="101">
        <v>0</v>
      </c>
      <c r="J94" s="101">
        <v>175</v>
      </c>
      <c r="K94" s="102">
        <v>11107.88</v>
      </c>
    </row>
    <row r="95" spans="1:11" ht="15" customHeight="1" x14ac:dyDescent="0.25">
      <c r="A95" s="1" t="str">
        <f t="shared" si="2"/>
        <v>Juneau</v>
      </c>
      <c r="B95" s="98">
        <v>100533</v>
      </c>
      <c r="C95" s="99" t="s">
        <v>173</v>
      </c>
      <c r="D95" s="100">
        <v>39287</v>
      </c>
      <c r="E95" s="100">
        <v>41578</v>
      </c>
      <c r="F95" s="6" t="s">
        <v>221</v>
      </c>
      <c r="G95" s="6" t="s">
        <v>59</v>
      </c>
      <c r="H95" s="101">
        <v>90</v>
      </c>
      <c r="I95" s="101">
        <v>16</v>
      </c>
      <c r="J95" s="101">
        <v>74</v>
      </c>
      <c r="K95" s="102">
        <v>629.5</v>
      </c>
    </row>
    <row r="96" spans="1:11" ht="15" customHeight="1" x14ac:dyDescent="0.25">
      <c r="A96" s="1" t="str">
        <f t="shared" si="2"/>
        <v>Thorne Bay</v>
      </c>
      <c r="B96" s="98">
        <v>100554</v>
      </c>
      <c r="C96" s="99" t="s">
        <v>174</v>
      </c>
      <c r="D96" s="100">
        <v>40750</v>
      </c>
      <c r="E96" s="100">
        <v>41943</v>
      </c>
      <c r="F96" s="6" t="s">
        <v>104</v>
      </c>
      <c r="G96" s="6" t="s">
        <v>105</v>
      </c>
      <c r="H96" s="101">
        <v>322</v>
      </c>
      <c r="I96" s="101">
        <v>322</v>
      </c>
      <c r="J96" s="101">
        <v>0</v>
      </c>
      <c r="K96" s="102">
        <v>0</v>
      </c>
    </row>
    <row r="97" spans="1:11" ht="15" customHeight="1" x14ac:dyDescent="0.25">
      <c r="A97" s="1" t="str">
        <f t="shared" si="2"/>
        <v>Thorne Bay</v>
      </c>
      <c r="B97" s="98">
        <v>100554</v>
      </c>
      <c r="C97" s="99" t="s">
        <v>175</v>
      </c>
      <c r="D97" s="100">
        <v>40778</v>
      </c>
      <c r="E97" s="100">
        <v>41943</v>
      </c>
      <c r="F97" s="6" t="s">
        <v>104</v>
      </c>
      <c r="G97" s="6" t="s">
        <v>108</v>
      </c>
      <c r="H97" s="101">
        <v>259.2</v>
      </c>
      <c r="I97" s="101">
        <v>259.2</v>
      </c>
      <c r="J97" s="101">
        <v>0</v>
      </c>
      <c r="K97" s="102">
        <v>0</v>
      </c>
    </row>
    <row r="98" spans="1:11" ht="15" customHeight="1" x14ac:dyDescent="0.25">
      <c r="A98" s="1" t="str">
        <f t="shared" si="2"/>
        <v>Wrangell</v>
      </c>
      <c r="B98" s="98">
        <v>100522</v>
      </c>
      <c r="C98" s="99" t="s">
        <v>176</v>
      </c>
      <c r="D98" s="100">
        <v>40659</v>
      </c>
      <c r="E98" s="100">
        <v>41578</v>
      </c>
      <c r="F98" s="42" t="s">
        <v>94</v>
      </c>
      <c r="G98" s="42" t="s">
        <v>95</v>
      </c>
      <c r="H98" s="101">
        <v>1751</v>
      </c>
      <c r="I98" s="101">
        <v>1198.68</v>
      </c>
      <c r="J98" s="101">
        <v>552.32000000000005</v>
      </c>
      <c r="K98" s="102">
        <v>38968.99</v>
      </c>
    </row>
    <row r="99" spans="1:11" ht="15" customHeight="1" x14ac:dyDescent="0.25">
      <c r="A99" s="1" t="str">
        <f t="shared" si="2"/>
        <v>Thorne Bay</v>
      </c>
      <c r="B99" s="98">
        <v>100554</v>
      </c>
      <c r="C99" s="99" t="s">
        <v>206</v>
      </c>
      <c r="D99" s="100">
        <v>41156</v>
      </c>
      <c r="E99" s="100">
        <v>41551</v>
      </c>
      <c r="F99" s="32" t="s">
        <v>194</v>
      </c>
      <c r="G99" s="32" t="s">
        <v>195</v>
      </c>
      <c r="H99" s="101">
        <v>1</v>
      </c>
      <c r="I99" s="101">
        <v>0</v>
      </c>
      <c r="J99" s="101">
        <v>1</v>
      </c>
      <c r="K99" s="102">
        <v>131.41999999999999</v>
      </c>
    </row>
    <row r="100" spans="1:11" ht="15" customHeight="1" x14ac:dyDescent="0.25">
      <c r="A100" s="1" t="str">
        <f t="shared" si="2"/>
        <v>Thorne Bay</v>
      </c>
      <c r="B100" s="98">
        <v>100554</v>
      </c>
      <c r="C100" s="99" t="s">
        <v>262</v>
      </c>
      <c r="D100" s="100">
        <v>41443</v>
      </c>
      <c r="E100" s="100">
        <v>41838</v>
      </c>
      <c r="F100" s="32" t="s">
        <v>194</v>
      </c>
      <c r="G100" s="32" t="s">
        <v>259</v>
      </c>
      <c r="H100" s="101">
        <v>9</v>
      </c>
      <c r="I100" s="101">
        <v>0</v>
      </c>
      <c r="J100" s="101">
        <v>9</v>
      </c>
      <c r="K100" s="102">
        <v>454.5</v>
      </c>
    </row>
    <row r="101" spans="1:11" ht="15" customHeight="1" x14ac:dyDescent="0.25">
      <c r="A101" s="1" t="str">
        <f t="shared" si="2"/>
        <v>Craig</v>
      </c>
      <c r="B101" s="98">
        <v>100551</v>
      </c>
      <c r="C101" s="99" t="s">
        <v>282</v>
      </c>
      <c r="D101" s="100">
        <v>41541</v>
      </c>
      <c r="E101" s="100">
        <v>41936</v>
      </c>
      <c r="F101" s="1" t="s">
        <v>38</v>
      </c>
      <c r="G101" s="1" t="s">
        <v>279</v>
      </c>
      <c r="H101" s="101">
        <v>4</v>
      </c>
      <c r="I101" s="101">
        <v>0</v>
      </c>
      <c r="J101" s="101">
        <v>4</v>
      </c>
      <c r="K101" s="102">
        <v>369.8</v>
      </c>
    </row>
    <row r="102" spans="1:11" ht="15" customHeight="1" x14ac:dyDescent="0.25">
      <c r="A102" s="1" t="str">
        <f t="shared" si="2"/>
        <v>Thorne Bay</v>
      </c>
      <c r="B102" s="98">
        <v>100554</v>
      </c>
      <c r="C102" s="99" t="s">
        <v>217</v>
      </c>
      <c r="D102" s="100">
        <v>41226</v>
      </c>
      <c r="E102" s="100">
        <v>41621</v>
      </c>
      <c r="F102" s="1" t="s">
        <v>38</v>
      </c>
      <c r="G102" s="1" t="s">
        <v>214</v>
      </c>
      <c r="H102" s="101">
        <v>14</v>
      </c>
      <c r="I102" s="101">
        <v>0</v>
      </c>
      <c r="J102" s="101">
        <v>14</v>
      </c>
      <c r="K102" s="102">
        <v>810.04</v>
      </c>
    </row>
    <row r="103" spans="1:11" s="6" customFormat="1" ht="15.75" customHeight="1" x14ac:dyDescent="0.25">
      <c r="A103" s="1" t="str">
        <f t="shared" si="2"/>
        <v>Petersburg</v>
      </c>
      <c r="B103" s="98">
        <v>100521</v>
      </c>
      <c r="C103" s="99" t="s">
        <v>177</v>
      </c>
      <c r="D103" s="100">
        <v>40330</v>
      </c>
      <c r="E103" s="100">
        <v>41578</v>
      </c>
      <c r="F103" s="32" t="s">
        <v>87</v>
      </c>
      <c r="G103" s="32" t="s">
        <v>88</v>
      </c>
      <c r="H103" s="101">
        <v>48</v>
      </c>
      <c r="I103" s="101">
        <v>18.25</v>
      </c>
      <c r="J103" s="101">
        <v>29.75</v>
      </c>
      <c r="K103" s="102">
        <v>125.51</v>
      </c>
    </row>
    <row r="104" spans="1:11" s="6" customFormat="1" x14ac:dyDescent="0.25">
      <c r="A104" s="1" t="str">
        <f t="shared" si="2"/>
        <v>Sitka</v>
      </c>
      <c r="B104" s="25">
        <v>100531</v>
      </c>
      <c r="C104" s="26" t="s">
        <v>251</v>
      </c>
      <c r="D104" s="25"/>
      <c r="E104" s="41">
        <v>41794</v>
      </c>
      <c r="F104" s="6" t="s">
        <v>252</v>
      </c>
      <c r="G104" s="6" t="s">
        <v>25</v>
      </c>
      <c r="H104" s="39">
        <v>14.21</v>
      </c>
      <c r="I104" s="39">
        <v>0</v>
      </c>
      <c r="J104" s="39">
        <v>14.21</v>
      </c>
      <c r="K104" s="40">
        <v>58</v>
      </c>
    </row>
    <row r="105" spans="1:11" s="6" customFormat="1" x14ac:dyDescent="0.25">
      <c r="A105" s="1" t="str">
        <f t="shared" ref="A105" si="3">LOOKUP(B105,$B$122:$B$136,$C$122:$C$136)</f>
        <v>Thorne Bay</v>
      </c>
      <c r="B105" s="25">
        <v>100554</v>
      </c>
      <c r="C105" s="26" t="s">
        <v>248</v>
      </c>
      <c r="D105" s="25"/>
      <c r="E105" s="41">
        <v>41485</v>
      </c>
      <c r="F105" s="6" t="s">
        <v>73</v>
      </c>
      <c r="G105" s="6" t="s">
        <v>25</v>
      </c>
      <c r="H105" s="39">
        <v>0</v>
      </c>
      <c r="I105" s="39">
        <v>0</v>
      </c>
      <c r="J105" s="39">
        <v>0</v>
      </c>
      <c r="K105" s="40">
        <v>0</v>
      </c>
    </row>
    <row r="106" spans="1:11" s="6" customFormat="1" x14ac:dyDescent="0.25">
      <c r="A106" s="1" t="str">
        <f>LOOKUP(B106,$B$122:$B$136,$C$122:$C$136)</f>
        <v>Thorne Bay</v>
      </c>
      <c r="B106" s="25">
        <v>100554</v>
      </c>
      <c r="C106" s="26"/>
      <c r="D106" s="25"/>
      <c r="E106" s="41"/>
      <c r="H106" s="39"/>
      <c r="I106" s="39"/>
      <c r="J106" s="39"/>
      <c r="K106" s="40"/>
    </row>
    <row r="107" spans="1:11" ht="21.75" customHeight="1" x14ac:dyDescent="0.25">
      <c r="A107" s="67" t="s">
        <v>225</v>
      </c>
      <c r="B107" s="72"/>
      <c r="C107" s="72">
        <f>COUNTIF($J$3:$J$106,"&gt;=0")</f>
        <v>97</v>
      </c>
      <c r="D107" s="72"/>
      <c r="E107" s="72"/>
      <c r="F107" s="58" t="s">
        <v>118</v>
      </c>
      <c r="G107" s="9">
        <f>COUNTIF($J$3:$J$106,"&gt;0")</f>
        <v>73</v>
      </c>
      <c r="H107" s="57">
        <f>SUM(H3:H106)</f>
        <v>280439.83</v>
      </c>
      <c r="I107" s="57">
        <f>SUM(I3:I106)</f>
        <v>170536.26</v>
      </c>
      <c r="J107" s="57">
        <f>SUM(J3:J106)</f>
        <v>109903.57000000002</v>
      </c>
      <c r="K107" s="35">
        <f>SUM(K3:K106)</f>
        <v>3310850.9300000011</v>
      </c>
    </row>
    <row r="108" spans="1:11" ht="30" customHeight="1" x14ac:dyDescent="0.25">
      <c r="A108" s="16" t="s">
        <v>50</v>
      </c>
      <c r="B108" s="17" t="s">
        <v>45</v>
      </c>
      <c r="C108" s="17" t="s">
        <v>36</v>
      </c>
      <c r="D108" s="18" t="s">
        <v>1</v>
      </c>
      <c r="E108" s="18" t="s">
        <v>21</v>
      </c>
      <c r="F108" s="19" t="s">
        <v>51</v>
      </c>
      <c r="G108" s="20" t="s">
        <v>49</v>
      </c>
      <c r="H108" s="56" t="s">
        <v>35</v>
      </c>
      <c r="I108" s="56" t="s">
        <v>34</v>
      </c>
      <c r="J108" s="56" t="s">
        <v>40</v>
      </c>
      <c r="K108" s="56" t="s">
        <v>52</v>
      </c>
    </row>
    <row r="109" spans="1:11" s="4" customFormat="1" ht="30" customHeight="1" x14ac:dyDescent="0.3">
      <c r="A109" s="60"/>
      <c r="B109" s="11"/>
      <c r="C109" s="11"/>
      <c r="D109" s="11"/>
      <c r="E109" s="11"/>
      <c r="F109" s="66" t="s">
        <v>0</v>
      </c>
      <c r="G109" s="61"/>
      <c r="H109" s="61"/>
      <c r="I109" s="61"/>
      <c r="J109" s="61"/>
      <c r="K109" s="61"/>
    </row>
    <row r="110" spans="1:11" ht="15" customHeight="1" x14ac:dyDescent="0.25">
      <c r="A110" s="1" t="str">
        <f>LOOKUP(B110,$B$122:$B$136,$C$122:$C$136)</f>
        <v>Seward</v>
      </c>
      <c r="B110" s="81">
        <v>100430</v>
      </c>
      <c r="C110" s="83" t="s">
        <v>273</v>
      </c>
      <c r="D110" s="82">
        <v>41530</v>
      </c>
      <c r="E110" s="82">
        <v>41880</v>
      </c>
      <c r="F110" s="84" t="s">
        <v>272</v>
      </c>
      <c r="G110" s="84" t="s">
        <v>274</v>
      </c>
      <c r="H110" s="80">
        <v>66.5</v>
      </c>
      <c r="I110" s="80">
        <v>0</v>
      </c>
      <c r="J110" s="80">
        <v>66.5</v>
      </c>
      <c r="K110" s="85">
        <v>665</v>
      </c>
    </row>
    <row r="111" spans="1:11" ht="15" customHeight="1" x14ac:dyDescent="0.25">
      <c r="A111" s="1" t="str">
        <f>LOOKUP(B111,$B$122:$B$136,$C$122:$C$136)</f>
        <v>Seward</v>
      </c>
      <c r="B111" s="29">
        <v>100430</v>
      </c>
      <c r="C111" s="30" t="s">
        <v>80</v>
      </c>
      <c r="D111" s="31">
        <v>40105</v>
      </c>
      <c r="E111" s="31">
        <v>41765</v>
      </c>
      <c r="F111" s="28" t="s">
        <v>81</v>
      </c>
      <c r="G111" s="28" t="s">
        <v>82</v>
      </c>
      <c r="H111" s="36">
        <v>90</v>
      </c>
      <c r="I111" s="36">
        <v>0</v>
      </c>
      <c r="J111" s="36">
        <f>H111-I111</f>
        <v>90</v>
      </c>
      <c r="K111" s="37">
        <v>900</v>
      </c>
    </row>
    <row r="112" spans="1:11" ht="15" customHeight="1" x14ac:dyDescent="0.25">
      <c r="A112" s="1" t="str">
        <f>LOOKUP(B112,$B$122:$B$136,$C$122:$C$136)</f>
        <v>Seward</v>
      </c>
      <c r="B112" s="29">
        <v>100430</v>
      </c>
      <c r="C112" s="30" t="s">
        <v>253</v>
      </c>
      <c r="D112" s="31">
        <v>41428</v>
      </c>
      <c r="E112" s="31">
        <v>41823</v>
      </c>
      <c r="F112" s="28" t="s">
        <v>254</v>
      </c>
      <c r="G112" s="28" t="s">
        <v>255</v>
      </c>
      <c r="H112" s="36">
        <v>28</v>
      </c>
      <c r="I112" s="36">
        <v>0</v>
      </c>
      <c r="J112" s="36">
        <f>H112-I112</f>
        <v>28</v>
      </c>
      <c r="K112" s="37">
        <v>5182</v>
      </c>
    </row>
    <row r="113" spans="1:11" ht="15" customHeight="1" x14ac:dyDescent="0.25">
      <c r="B113" s="46"/>
      <c r="C113" s="47"/>
      <c r="D113" s="48"/>
      <c r="E113" s="48"/>
      <c r="F113" s="45"/>
      <c r="G113" s="45"/>
      <c r="H113" s="49"/>
      <c r="I113" s="49"/>
      <c r="J113" s="49"/>
      <c r="K113" s="50"/>
    </row>
    <row r="114" spans="1:11" s="6" customFormat="1" x14ac:dyDescent="0.25">
      <c r="A114" s="1"/>
      <c r="B114" s="25"/>
      <c r="C114" s="26"/>
      <c r="D114" s="25"/>
      <c r="E114" s="24"/>
      <c r="H114" s="33"/>
      <c r="I114" s="33"/>
      <c r="J114" s="33"/>
      <c r="K114" s="34"/>
    </row>
    <row r="115" spans="1:11" ht="15" customHeight="1" x14ac:dyDescent="0.25">
      <c r="B115" s="11"/>
      <c r="C115" s="11"/>
      <c r="D115" s="15"/>
      <c r="E115" s="15"/>
      <c r="F115" s="6"/>
      <c r="G115" s="6"/>
      <c r="K115" s="35"/>
    </row>
    <row r="116" spans="1:11" ht="15" customHeight="1" x14ac:dyDescent="0.25">
      <c r="A116" s="67" t="s">
        <v>225</v>
      </c>
      <c r="B116" s="72"/>
      <c r="C116" s="2">
        <f>COUNTIF($J$111:$J$114,"&gt;=0")</f>
        <v>2</v>
      </c>
      <c r="D116" s="72"/>
      <c r="E116" s="72"/>
      <c r="F116" s="58" t="s">
        <v>118</v>
      </c>
      <c r="G116" s="9">
        <f>COUNTIF($J$111:$J$114,"&gt;0")</f>
        <v>2</v>
      </c>
      <c r="H116" s="57">
        <f>SUM(H110:H114)</f>
        <v>184.5</v>
      </c>
      <c r="I116" s="57">
        <f>SUM(I110:I114)</f>
        <v>0</v>
      </c>
      <c r="J116" s="57">
        <f>SUM(J110:J114)</f>
        <v>184.5</v>
      </c>
      <c r="K116" s="35">
        <f>SUM(K110:K114)</f>
        <v>6747</v>
      </c>
    </row>
    <row r="117" spans="1:11" ht="44.4" customHeight="1" x14ac:dyDescent="0.25">
      <c r="B117" s="12"/>
      <c r="C117" s="13"/>
      <c r="D117" s="13"/>
      <c r="E117" s="13"/>
      <c r="F117" s="57"/>
      <c r="G117" s="9"/>
      <c r="K117" s="35"/>
    </row>
    <row r="118" spans="1:11" s="4" customFormat="1" ht="30" customHeight="1" x14ac:dyDescent="0.3">
      <c r="B118" s="11"/>
      <c r="C118" s="11"/>
      <c r="D118" s="11"/>
      <c r="E118" s="11"/>
      <c r="F118" s="63" t="s">
        <v>179</v>
      </c>
      <c r="G118" s="64"/>
      <c r="H118" s="58"/>
      <c r="I118" s="58"/>
      <c r="J118" s="58"/>
      <c r="K118" s="58"/>
    </row>
    <row r="119" spans="1:11" ht="15" customHeight="1" x14ac:dyDescent="0.25">
      <c r="A119" s="67" t="s">
        <v>225</v>
      </c>
      <c r="B119" s="72"/>
      <c r="C119" s="73">
        <f>C107+C116</f>
        <v>99</v>
      </c>
      <c r="D119" s="72"/>
      <c r="E119" s="72"/>
      <c r="F119" s="58" t="s">
        <v>118</v>
      </c>
      <c r="G119" s="5">
        <f>G107+G116</f>
        <v>75</v>
      </c>
      <c r="H119" s="57">
        <f>H107+H116</f>
        <v>280624.33</v>
      </c>
      <c r="I119" s="57">
        <f>I107+I116</f>
        <v>170536.26</v>
      </c>
      <c r="J119" s="57">
        <f>J107+J116</f>
        <v>110088.07000000002</v>
      </c>
      <c r="K119" s="35">
        <f>K107+K116</f>
        <v>3317597.9300000011</v>
      </c>
    </row>
    <row r="120" spans="1:11" ht="30" customHeight="1" x14ac:dyDescent="0.25">
      <c r="A120" s="53"/>
      <c r="B120" s="54"/>
      <c r="C120" s="54"/>
      <c r="D120" s="55"/>
      <c r="E120" s="55"/>
      <c r="G120" s="20" t="s">
        <v>51</v>
      </c>
      <c r="H120" s="56" t="s">
        <v>35</v>
      </c>
      <c r="I120" s="56" t="s">
        <v>34</v>
      </c>
      <c r="J120" s="56" t="s">
        <v>40</v>
      </c>
      <c r="K120" s="56" t="s">
        <v>52</v>
      </c>
    </row>
    <row r="121" spans="1:11" ht="30" customHeight="1" x14ac:dyDescent="0.25">
      <c r="B121" s="74" t="s">
        <v>46</v>
      </c>
      <c r="C121" s="75"/>
      <c r="D121" s="10"/>
      <c r="E121" s="10"/>
      <c r="G121" s="62"/>
      <c r="H121" s="65" t="s">
        <v>39</v>
      </c>
      <c r="I121" s="65"/>
      <c r="J121" s="65"/>
      <c r="K121" s="65"/>
    </row>
    <row r="122" spans="1:11" ht="14.25" customHeight="1" x14ac:dyDescent="0.25">
      <c r="B122" s="11">
        <v>100410</v>
      </c>
      <c r="C122" s="2" t="s">
        <v>41</v>
      </c>
      <c r="G122" s="6" t="s">
        <v>5</v>
      </c>
      <c r="H122" s="8">
        <f t="array" ref="H122">SUMIF($F$3:$F$117,"Alcan Forest Products LLP",$H$3:$H$117)</f>
        <v>62096.790000000008</v>
      </c>
      <c r="I122" s="8">
        <f t="array" ref="I122">SUMIF($F$3:$F$117,"Alcan Forest Products LLP",$I$3:$I$117)</f>
        <v>20858.669999999998</v>
      </c>
      <c r="J122" s="8">
        <f t="array" ref="J122">SUMIF($F$3:$F$117,"Alcan Forest Products LLP",$J$3:$J$117)</f>
        <v>41238.120000000003</v>
      </c>
      <c r="K122" s="7">
        <f t="array" ref="K122">SUMIF($F$3:$F$117,"Alcan Forest Products LLP",$K$3:$K$117)</f>
        <v>1392481.0699999998</v>
      </c>
    </row>
    <row r="123" spans="1:11" ht="14.25" customHeight="1" x14ac:dyDescent="0.25">
      <c r="B123" s="11">
        <v>100420</v>
      </c>
      <c r="C123" s="2" t="s">
        <v>42</v>
      </c>
      <c r="G123" s="43" t="s">
        <v>96</v>
      </c>
      <c r="H123" s="8">
        <f>SUMIF($F$3:$F$117,"Channel Construction, Inc",$H$3:$H$117)</f>
        <v>472</v>
      </c>
      <c r="I123" s="8">
        <f>SUMIF($F$3:$F$117,"Channel Construction, Inc",$I$3:$I$117)</f>
        <v>401</v>
      </c>
      <c r="J123" s="8">
        <f>SUMIF($F$3:$F$117,"Channel Construction, Inc",$J$3:$J$117)</f>
        <v>71</v>
      </c>
      <c r="K123" s="7">
        <f>SUMIF($F$3:$F$117,"Channel Construction, Inc",$K$3:$K$117)</f>
        <v>608.93000000000006</v>
      </c>
    </row>
    <row r="124" spans="1:11" ht="14.25" customHeight="1" x14ac:dyDescent="0.25">
      <c r="B124" s="11">
        <v>100430</v>
      </c>
      <c r="C124" s="2" t="s">
        <v>20</v>
      </c>
      <c r="G124" s="6" t="s">
        <v>109</v>
      </c>
      <c r="H124" s="8">
        <f>SUMIF($F$3:$F$117,"Charles W Bennett",$H$3:$H$117)</f>
        <v>10</v>
      </c>
      <c r="I124" s="8">
        <f>SUMIF($F$3:$F$117,"Charles W Bennett",$I$3:$I$117)</f>
        <v>10</v>
      </c>
      <c r="J124" s="8">
        <f>SUMIF($F$3:$F$117,"Charles W Bennett",$J$3:$J$117)</f>
        <v>0</v>
      </c>
      <c r="K124" s="7">
        <f>SUMIF($F$3:$F$117,"Charles W Bennett",$K$3:$K$117)</f>
        <v>0</v>
      </c>
    </row>
    <row r="125" spans="1:11" ht="14.25" customHeight="1" x14ac:dyDescent="0.25">
      <c r="B125" s="11"/>
      <c r="G125" s="6" t="s">
        <v>272</v>
      </c>
      <c r="H125" s="8">
        <f>SUMIF($F$3:$F$117,"Chugach Electrict Assn",$H$3:$H$117)</f>
        <v>66.5</v>
      </c>
      <c r="I125" s="8">
        <f>SUMIF($F$3:$F$117,"Chugach Electrict Assn",$I$3:$I$117)</f>
        <v>0</v>
      </c>
      <c r="J125" s="8">
        <f>SUMIF($F$3:$F$117,"Chugach Electrict Assn",$J$3:$J$117)</f>
        <v>66.5</v>
      </c>
      <c r="K125" s="7">
        <f>SUMIF($F$3:$F$117,"Chugach Electrict Assn",$K$3:$K$117)</f>
        <v>665</v>
      </c>
    </row>
    <row r="126" spans="1:11" ht="14.25" customHeight="1" x14ac:dyDescent="0.25">
      <c r="B126" s="11">
        <v>100521</v>
      </c>
      <c r="C126" s="2" t="s">
        <v>18</v>
      </c>
      <c r="G126" s="6" t="s">
        <v>226</v>
      </c>
      <c r="H126" s="8">
        <f>SUMIF($F$3:$F$117,"City of Ketchikan",$H$3:$H$117)</f>
        <v>12</v>
      </c>
      <c r="I126" s="8">
        <f>SUMIF($F$3:$F$117,"City of Ketchikan",$I$3:$I$117)</f>
        <v>0</v>
      </c>
      <c r="J126" s="8">
        <f>SUMIF($F$3:$F$117,"City of Ketchikan",$J$3:$J$117)</f>
        <v>12</v>
      </c>
      <c r="K126" s="7">
        <f>SUMIF($F$3:$F$117,"City of Ketchikan",$K$3:$K$117)</f>
        <v>1309.8399999999999</v>
      </c>
    </row>
    <row r="127" spans="1:11" ht="14.25" customHeight="1" x14ac:dyDescent="0.25">
      <c r="B127" s="11">
        <v>100522</v>
      </c>
      <c r="C127" s="2" t="s">
        <v>19</v>
      </c>
      <c r="G127" s="6" t="s">
        <v>256</v>
      </c>
      <c r="H127" s="8">
        <f>SUMIF($F$3:$F$117,"City &amp; Borough of Sitka",$H$3:$H$117)</f>
        <v>7582</v>
      </c>
      <c r="I127" s="8">
        <f>SUMIF($F$3:$F$117,"City &amp; Borough of Sitka",$I$3:$I$117)</f>
        <v>0</v>
      </c>
      <c r="J127" s="8">
        <f>SUMIF($F$3:$F$117,"City &amp; Borough of Sitka",$J$3:$J$117)</f>
        <v>7582</v>
      </c>
      <c r="K127" s="7">
        <f>SUMIF($F$3:$F$117,"City &amp; Borough of Sitka",$K$3:$K$117)</f>
        <v>37948</v>
      </c>
    </row>
    <row r="128" spans="1:11" ht="14.25" customHeight="1" x14ac:dyDescent="0.25">
      <c r="B128" s="11">
        <v>100531</v>
      </c>
      <c r="C128" s="2" t="s">
        <v>43</v>
      </c>
      <c r="G128" s="6" t="s">
        <v>73</v>
      </c>
      <c r="H128" s="8">
        <f t="array" ref="H128">SUMIF($F$3:$F$117,"Commercial Fuelwood",$H$3:$H$117)</f>
        <v>0</v>
      </c>
      <c r="I128" s="8">
        <f t="array" ref="I128">SUMIF($F$3:$F$117,"Commercial Fuelwood",$I$3:$I$117)</f>
        <v>0</v>
      </c>
      <c r="J128" s="8">
        <f t="array" ref="J128">SUMIF($F$3:$F$117,"Commercial Fuelwood",$J$3:$J$117)</f>
        <v>0</v>
      </c>
      <c r="K128" s="7">
        <f t="array" ref="K128">SUMIF($F$3:$F$117,"Commercial Fuelwood",$K$3:$K$117)</f>
        <v>0</v>
      </c>
    </row>
    <row r="129" spans="2:11" ht="14.25" customHeight="1" x14ac:dyDescent="0.25">
      <c r="B129" s="11">
        <v>100532</v>
      </c>
      <c r="C129" s="2" t="s">
        <v>14</v>
      </c>
      <c r="G129" s="6" t="s">
        <v>31</v>
      </c>
      <c r="H129" s="8">
        <f t="array" ref="H129">SUMIF($F$3:$F$117,"Commercial Sawlog",$H$3:$H$117)</f>
        <v>0</v>
      </c>
      <c r="I129" s="8">
        <f t="array" ref="I129">SUMIF($F$3:$F$117,"Commercial Sawlog",$I$3:$I$117)</f>
        <v>0</v>
      </c>
      <c r="J129" s="8">
        <f t="array" ref="J129">SUMIF($F$3:$F$117,"Commercial Sawlog",$J$3:$J$117)</f>
        <v>0</v>
      </c>
      <c r="K129" s="7">
        <f t="array" ref="K129">SUMIF($F$3:$F$117,"Commercial Sawlog",$K$3:$K$117)</f>
        <v>0</v>
      </c>
    </row>
    <row r="130" spans="2:11" ht="14.25" customHeight="1" x14ac:dyDescent="0.25">
      <c r="B130" s="11">
        <v>100533</v>
      </c>
      <c r="C130" s="2" t="s">
        <v>17</v>
      </c>
      <c r="G130" s="6" t="s">
        <v>63</v>
      </c>
      <c r="H130" s="8">
        <f>SUMIF($F$3:$F$117,"Custom Cut LLC",$H$3:$H$117)</f>
        <v>26</v>
      </c>
      <c r="I130" s="8">
        <f>SUMIF($F$3:$F$117,"Custom Cut LLC",$I$3:$I$117)</f>
        <v>0</v>
      </c>
      <c r="J130" s="8">
        <f t="array" ref="J130">SUMIF($F$3:$F$117,"Custom Cut LLC",$J$3:$J$117)</f>
        <v>26</v>
      </c>
      <c r="K130" s="7">
        <f>SUMIF($F$3:$F$117,"Custom Cut LLC",$K$3:$K$117)</f>
        <v>2695.4300000000003</v>
      </c>
    </row>
    <row r="131" spans="2:11" ht="14.25" customHeight="1" x14ac:dyDescent="0.25">
      <c r="B131" s="11">
        <v>100534</v>
      </c>
      <c r="C131" s="2" t="s">
        <v>44</v>
      </c>
      <c r="G131" s="6" t="s">
        <v>218</v>
      </c>
      <c r="H131" s="8">
        <f t="array" ref="H131">SUMIF($F$3:$F$117,"Daniel Fanning",$H$3:$H$117)</f>
        <v>735</v>
      </c>
      <c r="I131" s="8">
        <f t="array" ref="I131">SUMIF($F$3:$F$117,"Daniel Fanning",$I$3:$I$117)</f>
        <v>180</v>
      </c>
      <c r="J131" s="8">
        <f t="array" ref="J131">SUMIF($F$3:$F$117,"Daniel Fanning",$J$3:$J$117)</f>
        <v>555</v>
      </c>
      <c r="K131" s="7">
        <f t="array" ref="K131">SUMIF($F$3:$F$117,"Daniel Fanning",$K$3:$K$117)</f>
        <v>12725.35</v>
      </c>
    </row>
    <row r="132" spans="2:11" ht="14.25" customHeight="1" x14ac:dyDescent="0.25">
      <c r="B132" s="11">
        <v>100535</v>
      </c>
      <c r="C132" s="2" t="s">
        <v>12</v>
      </c>
      <c r="G132" s="6" t="s">
        <v>75</v>
      </c>
      <c r="H132" s="8">
        <f>SUMIF($F$3:$F$117,"DOT/PF State of Alaska",$H$3:$H$117)</f>
        <v>3601</v>
      </c>
      <c r="I132" s="8">
        <f>SUMIF($F$3:$F$117,"DOT/PF State of Alaska",$I$3:$I$117)</f>
        <v>0</v>
      </c>
      <c r="J132" s="8">
        <f>SUMIF($F$3:$F$117,"DOT/PF State of Alaska",$J$3:$J$117)</f>
        <v>3601</v>
      </c>
      <c r="K132" s="7">
        <f>SUMIF($F$3:$F$117,"DOT/PF State of Alaska",$K$3:$K$117)</f>
        <v>181037.1</v>
      </c>
    </row>
    <row r="133" spans="2:11" ht="14.25" customHeight="1" x14ac:dyDescent="0.25">
      <c r="B133" s="11"/>
      <c r="G133" s="6" t="s">
        <v>275</v>
      </c>
      <c r="H133" s="8">
        <f>SUMIF($F$3:$F$117,"Eagle Wood Products",$H$3:$H$117)</f>
        <v>3</v>
      </c>
      <c r="I133" s="8">
        <f>SUMIF($F$3:$F$117,"Eagle Wood Products",$I$3:$I$117)</f>
        <v>0</v>
      </c>
      <c r="J133" s="8">
        <f>SUMIF($F$3:$F$117,"Eagle Wood Products",$J$3:$J$117)</f>
        <v>3</v>
      </c>
      <c r="K133" s="7">
        <f>SUMIF($F$3:$F$117,"Eagle Wood Products",$K$3:$K$117)</f>
        <v>153.87</v>
      </c>
    </row>
    <row r="134" spans="2:11" ht="14.25" customHeight="1" x14ac:dyDescent="0.25">
      <c r="B134" s="11">
        <v>100551</v>
      </c>
      <c r="C134" s="2" t="s">
        <v>15</v>
      </c>
      <c r="G134" s="6" t="s">
        <v>11</v>
      </c>
      <c r="H134" s="8">
        <f t="array" ref="H134">SUMIF($F$3:$F$117,"Ernie Eads",$H$3:$H$117)</f>
        <v>1131.21</v>
      </c>
      <c r="I134" s="8">
        <f t="array" ref="I134">SUMIF($F$3:$F$117,"Ernie Eads",$I$3:$I$117)</f>
        <v>1098.6199999999999</v>
      </c>
      <c r="J134" s="8">
        <f t="array" ref="J134">SUMIF($F$3:$F$117,"Ernie Eads",$J$3:$J$117)</f>
        <v>32.590000000000003</v>
      </c>
      <c r="K134" s="7">
        <f t="array" ref="K134">SUMIF($F$3:$F$117,"Ernie Eads",$K$3:$K$117)</f>
        <v>2820.72</v>
      </c>
    </row>
    <row r="135" spans="2:11" ht="14.25" customHeight="1" x14ac:dyDescent="0.25">
      <c r="B135" s="11">
        <v>100552</v>
      </c>
      <c r="C135" s="2" t="s">
        <v>16</v>
      </c>
      <c r="G135" s="6" t="s">
        <v>219</v>
      </c>
      <c r="H135" s="8">
        <f t="array" ref="H135">SUMIF($F$3:$F$117,"Gordon W Chew",$H$3:$H$117)</f>
        <v>201.29000000000002</v>
      </c>
      <c r="I135" s="8">
        <f t="array" ref="I135">SUMIF($F$3:$F$117,"Gordon W Chew",$I$3:$I$117)</f>
        <v>172.29000000000002</v>
      </c>
      <c r="J135" s="8">
        <f t="array" ref="J135">SUMIF($F$3:$F$117,"Gordon W Chew",$J$3:$J$117)</f>
        <v>29</v>
      </c>
      <c r="K135" s="7">
        <f t="array" ref="K135">SUMIF($F$3:$F$117,"Gordon W Chew",$K$3:$K$117)</f>
        <v>1108.01</v>
      </c>
    </row>
    <row r="136" spans="2:11" ht="14.25" customHeight="1" x14ac:dyDescent="0.25">
      <c r="B136" s="11">
        <v>100554</v>
      </c>
      <c r="C136" s="2" t="s">
        <v>13</v>
      </c>
      <c r="G136" s="6" t="s">
        <v>23</v>
      </c>
      <c r="H136" s="8">
        <f t="array" ref="H136">SUMIF($F$3:$F$117,"H &amp; L Salvage, Inc",$H$3:$H$117)</f>
        <v>1686.73</v>
      </c>
      <c r="I136" s="8">
        <f t="array" ref="I136">SUMIF($F$3:$F$117,"H &amp; L Salvage, Inc",$I$3:$I$117)</f>
        <v>543.73</v>
      </c>
      <c r="J136" s="8">
        <f t="array" ref="J136">SUMIF($F$3:$F$117,"H &amp; L Salvage, Inc",$J$3:$J$117)</f>
        <v>1143</v>
      </c>
      <c r="K136" s="7">
        <f t="array" ref="K136">SUMIF($F$3:$F$117,"H &amp; L Salvage, Inc",$K$3:$K$117)</f>
        <v>68380.460000000006</v>
      </c>
    </row>
    <row r="137" spans="2:11" ht="14.25" customHeight="1" x14ac:dyDescent="0.25">
      <c r="B137" s="11"/>
      <c r="C137" s="11"/>
      <c r="G137" s="23" t="s">
        <v>74</v>
      </c>
      <c r="H137" s="8">
        <f>SUMIF($F$3:$F$117,"Hecla Greens Creek Mining",$H$3:$H$117)</f>
        <v>80</v>
      </c>
      <c r="I137" s="8">
        <f>SUMIF($F$3:$F$117,"Hecla Greens Creek Mining",$I$3:$I$117)</f>
        <v>80</v>
      </c>
      <c r="J137" s="8">
        <f>SUMIF($F$3:$F$117,"Hecla Greens Creek Mining",$J$3:$J$117)</f>
        <v>0</v>
      </c>
      <c r="K137" s="7">
        <f>SUMIF($F$3:$F$117,"Hecla Greens Creek Mining",$K$3:$K$117)</f>
        <v>0</v>
      </c>
    </row>
    <row r="138" spans="2:11" ht="14.25" customHeight="1" x14ac:dyDescent="0.25">
      <c r="B138" s="11"/>
      <c r="G138" s="6" t="s">
        <v>81</v>
      </c>
      <c r="H138" s="8">
        <f>SUMIF($F$3:$F$117,"Henry Drechnowicz",$H$3:$H$117)</f>
        <v>90</v>
      </c>
      <c r="I138" s="8">
        <f>SUMIF($F$3:$F$117,"Henry Drechnowicz",$I$3:$I$117)</f>
        <v>0</v>
      </c>
      <c r="J138" s="8">
        <f>SUMIF($F$3:$F$117,"Henry Drechnowicz",$J$3:$J$117)</f>
        <v>90</v>
      </c>
      <c r="K138" s="7">
        <f>SUMIF($F$3:$F$117,"Henry Drechnowicz",$K$3:$K$117)</f>
        <v>900</v>
      </c>
    </row>
    <row r="139" spans="2:11" ht="14.25" customHeight="1" x14ac:dyDescent="0.25">
      <c r="G139" s="6" t="s">
        <v>7</v>
      </c>
      <c r="H139" s="8">
        <f t="array" ref="H139">SUMIF($F$3:$F$117,"Icy Straits Lumber &amp; Mill",$H$3:$H$117)</f>
        <v>9752.4599999999991</v>
      </c>
      <c r="I139" s="8">
        <f t="array" ref="I139">SUMIF($F$3:$F$117,"Icy Straits Lumber &amp; Mill",$I$3:$I$117)</f>
        <v>756.01</v>
      </c>
      <c r="J139" s="8">
        <f t="array" ref="J139">SUMIF($F$3:$F$117,"Icy Straits Lumber &amp; Mill",$J$3:$J$117)</f>
        <v>8996.4500000000007</v>
      </c>
      <c r="K139" s="7">
        <f t="array" ref="K139">SUMIF($F$3:$F$117,"Icy Straits Lumber &amp; Mill",$K$3:$K$117)</f>
        <v>69572.2</v>
      </c>
    </row>
    <row r="140" spans="2:11" ht="14.25" customHeight="1" x14ac:dyDescent="0.25">
      <c r="G140" s="6" t="s">
        <v>102</v>
      </c>
      <c r="H140" s="8">
        <f>SUMIF($F$3:$F$117,"ISL Enterprises LLC",$H$3:$H$117)</f>
        <v>52</v>
      </c>
      <c r="I140" s="8">
        <f>SUMIF($F$3:$F$117,"ISL Enterprises LLC",$I$3:$I$117)</f>
        <v>31</v>
      </c>
      <c r="J140" s="8">
        <f>SUMIF($F$3:$F$117,"ISL Enterprises LLC",$J$3:$J$117)</f>
        <v>21</v>
      </c>
      <c r="K140" s="7">
        <f>SUMIF($F$3:$F$117,"ISL Enterprises LLC",$K$3:$K$117)</f>
        <v>116.76</v>
      </c>
    </row>
    <row r="141" spans="2:11" ht="14.25" customHeight="1" x14ac:dyDescent="0.25">
      <c r="G141" s="6" t="s">
        <v>24</v>
      </c>
      <c r="H141" s="8">
        <f t="array" ref="H141">SUMIF($F$3:$F$117,"James Harrison",$H$3:$H$117)</f>
        <v>1903.81</v>
      </c>
      <c r="I141" s="8">
        <f t="array" ref="I141">SUMIF($F$3:$F$117,"James Harrison",$I$3:$I$117)</f>
        <v>506.81</v>
      </c>
      <c r="J141" s="8">
        <f t="array" ref="J141">SUMIF($F$3:$F$117,"James Harrison",$J$3:$J$117)</f>
        <v>1397</v>
      </c>
      <c r="K141" s="7">
        <f t="array" ref="K141">SUMIF($F$3:$F$117,"James Harrison",$K$3:$K$117)</f>
        <v>172793.13999999998</v>
      </c>
    </row>
    <row r="142" spans="2:11" ht="14.25" customHeight="1" x14ac:dyDescent="0.25">
      <c r="G142" s="6" t="s">
        <v>111</v>
      </c>
      <c r="H142" s="8">
        <f>SUMIF($F$3:$F$117,"Jerod Cook",$H$3:$H$117)</f>
        <v>64.070000000000007</v>
      </c>
      <c r="I142" s="8">
        <f>SUMIF($F$3:$F$117,"Jerod Cook",$I$3:$I$117)</f>
        <v>52.14</v>
      </c>
      <c r="J142" s="8">
        <f>SUMIF($F$3:$F$117,"Jerod Cook",$J$3:$J$117)</f>
        <v>11.93</v>
      </c>
      <c r="K142" s="7">
        <f>SUMIF($F$3:$F$117,"Jerod Cook",$K$3:$K$117)</f>
        <v>403.96</v>
      </c>
    </row>
    <row r="143" spans="2:11" ht="14.25" customHeight="1" x14ac:dyDescent="0.25">
      <c r="G143" s="6" t="s">
        <v>115</v>
      </c>
      <c r="H143" s="8">
        <f t="array" ref="H143">SUMIF($F$3:$F$117,"John Helliwell",$H$3:$H$117)</f>
        <v>94.34</v>
      </c>
      <c r="I143" s="8">
        <f t="array" ref="I143">SUMIF($F$3:$F$117,"John Helliwell",$I$3:$I$117)</f>
        <v>8</v>
      </c>
      <c r="J143" s="8">
        <f t="array" ref="J143">SUMIF($F$3:$F$117,"John Helliwell",$J$3:$J$117)</f>
        <v>86.34</v>
      </c>
      <c r="K143" s="7">
        <f t="array" ref="K143">SUMIF($F$3:$F$117,"John Helliwell",$K$3:$K$117)</f>
        <v>3877.57</v>
      </c>
    </row>
    <row r="144" spans="2:11" ht="14.25" customHeight="1" x14ac:dyDescent="0.25">
      <c r="G144" s="6" t="s">
        <v>254</v>
      </c>
      <c r="H144" s="8">
        <f>SUMIF($F$3:$F$117,"Jim Skugstad",$H$3:$H$117)</f>
        <v>28</v>
      </c>
      <c r="I144" s="8">
        <f>SUMIF($F$3:$F$117,"Jim Skugstad",$I$3:$I$117)</f>
        <v>0</v>
      </c>
      <c r="J144" s="8">
        <f>SUMIF($F$3:$F$117,"Jim Skugstad",$J$3:$J$117)</f>
        <v>28</v>
      </c>
      <c r="K144" s="7">
        <f>SUMIF($F$3:$F$117,"Jim Skugstad",$K$3:$K$117)</f>
        <v>5182</v>
      </c>
    </row>
    <row r="145" spans="7:11" ht="14.25" customHeight="1" x14ac:dyDescent="0.25">
      <c r="G145" s="6" t="s">
        <v>6</v>
      </c>
      <c r="H145" s="8">
        <f t="array" ref="H145">SUMIF($F$3:$F$117,"Keith Dahl",$H$3:$H$117)</f>
        <v>526</v>
      </c>
      <c r="I145" s="8">
        <f t="array" ref="I145">SUMIF($F$3:$F$117,"Keith Dahl",$I$3:$I$117)</f>
        <v>143</v>
      </c>
      <c r="J145" s="8">
        <f t="array" ref="J145">SUMIF($F$3:$F$117,"Keith Dahl",$J$3:$J$117)</f>
        <v>383</v>
      </c>
      <c r="K145" s="7">
        <f t="array" ref="K145">SUMIF($F$3:$F$117,"Keith Dahl",$K$3:$K$117)</f>
        <v>34914.160000000003</v>
      </c>
    </row>
    <row r="146" spans="7:11" ht="14.25" customHeight="1" x14ac:dyDescent="0.25">
      <c r="G146" s="6" t="s">
        <v>178</v>
      </c>
      <c r="H146" s="8">
        <f>SUMIF($F$3:$F$117,"Ketchikan Ready-Mix &amp; Quarry Inc",$H$3:$H$117)</f>
        <v>141.79</v>
      </c>
      <c r="I146" s="8">
        <f>SUMIF($F$3:$F$117,"Ketchikan Ready-Mix &amp; Quarry Inc",$I$3:$I$117)</f>
        <v>124.19</v>
      </c>
      <c r="J146" s="8">
        <f>SUMIF($F$3:$F$117,"Ketchikan Ready-Mix &amp; Quarry Inc",$J$3:$J$117)</f>
        <v>17.600000000000001</v>
      </c>
      <c r="K146" s="7">
        <f>SUMIF($F$3:$F$117,"Ketchikan Ready-Mix &amp; Quarry Inc",$K$3:$K$117)</f>
        <v>1024.8</v>
      </c>
    </row>
    <row r="147" spans="7:11" ht="14.25" customHeight="1" x14ac:dyDescent="0.25">
      <c r="G147" s="6" t="s">
        <v>116</v>
      </c>
      <c r="H147" s="8">
        <f t="array" ref="H147">SUMIF($F$3:$F$117,"Kevin Merry",$H$3:$H$117)</f>
        <v>13.5</v>
      </c>
      <c r="I147" s="8">
        <f t="array" ref="I147">SUMIF($F$3:$F$117,"Kevin Merry",$I$3:$I$117)</f>
        <v>7.9</v>
      </c>
      <c r="J147" s="8">
        <f t="array" ref="J147">SUMIF($F$3:$F$117,"Kevin Merry",$J$3:$J$117)</f>
        <v>5.6</v>
      </c>
      <c r="K147" s="7">
        <f t="array" ref="K147">SUMIF($F$3:$F$117,"Kevin Merry",$K$3:$K$117)</f>
        <v>114.05</v>
      </c>
    </row>
    <row r="148" spans="7:11" ht="14.25" customHeight="1" x14ac:dyDescent="0.25">
      <c r="G148" s="6" t="s">
        <v>28</v>
      </c>
      <c r="H148" s="8">
        <f t="array" ref="H148">SUMIF($F$3:$F$117,"Larry Trumble",$H$3:$H$117)</f>
        <v>12</v>
      </c>
      <c r="I148" s="8">
        <f t="array" ref="I148">SUMIF($F$3:$F$117,"Larry Trumble",$I$3:$I$117)</f>
        <v>0</v>
      </c>
      <c r="J148" s="8">
        <f t="array" ref="J148">SUMIF($F$3:$F$117,"Larry Trumble",$J$3:$J$117)</f>
        <v>12</v>
      </c>
      <c r="K148" s="7">
        <f t="array" ref="K148">SUMIF($F$3:$F$117,"Larry Trumble",$K$3:$K$117)</f>
        <v>481.56000000000006</v>
      </c>
    </row>
    <row r="149" spans="7:11" ht="14.25" customHeight="1" x14ac:dyDescent="0.25">
      <c r="G149" s="6" t="s">
        <v>77</v>
      </c>
      <c r="H149" s="8">
        <f>SUMIF($F$3:$F$117,"Michael B Allen",$H$3:$H$117)</f>
        <v>4547.68</v>
      </c>
      <c r="I149" s="8">
        <f>SUMIF($F$3:$F$117,"Michael B Allen",$I$3:$I$117)</f>
        <v>4016.12</v>
      </c>
      <c r="J149" s="8">
        <f>SUMIF($F$3:$F$117,"Michael B Allen",$J$3:$J$117)</f>
        <v>531.55999999999995</v>
      </c>
      <c r="K149" s="7">
        <f>SUMIF($F$3:$F$117,"Michael B Allen",$K$3:$K$117)</f>
        <v>5873.6200000000008</v>
      </c>
    </row>
    <row r="150" spans="7:11" ht="14.25" customHeight="1" x14ac:dyDescent="0.25">
      <c r="G150" s="6" t="s">
        <v>4</v>
      </c>
      <c r="H150" s="8">
        <f t="array" ref="H150">SUMIF($F$3:$F$117,"Pacific Log &amp; Lumber Ltd",$H$3:$H$117)</f>
        <v>43933.130000000005</v>
      </c>
      <c r="I150" s="8">
        <f t="array" ref="I150">SUMIF($F$3:$F$117,"Pacific Log &amp; Lumber Ltd",$I$3:$I$117)</f>
        <v>28911.89</v>
      </c>
      <c r="J150" s="8">
        <f t="array" ref="J150">SUMIF($F$3:$F$117,"Pacific Log &amp; Lumber Ltd",$J$3:$J$117)</f>
        <v>15021.24</v>
      </c>
      <c r="K150" s="7">
        <f t="array" ref="K150">SUMIF($F$3:$F$117,"Pacific Log &amp; Lumber Ltd",$K$3:$K$117)</f>
        <v>164828.79999999999</v>
      </c>
    </row>
    <row r="151" spans="7:11" ht="14.25" customHeight="1" x14ac:dyDescent="0.25">
      <c r="G151" s="6" t="s">
        <v>2</v>
      </c>
      <c r="H151" s="8">
        <f t="array" ref="H151">SUMIF($F$3:$F$117,"Porter Lumber",$H$3:$H$117)</f>
        <v>975.9</v>
      </c>
      <c r="I151" s="8">
        <f t="array" ref="I151">SUMIF($F$3:$F$117,"Porter Lumber",$I$3:$I$117)</f>
        <v>247.52</v>
      </c>
      <c r="J151" s="8">
        <f t="array" ref="J151">SUMIF($F$3:$F$117,"Porter Lumber",$J$3:$J$117)</f>
        <v>728.38</v>
      </c>
      <c r="K151" s="7">
        <f t="array" ref="K151">SUMIF($F$3:$F$117,"Porter Lumber",$K$3:$K$117)</f>
        <v>44021.23</v>
      </c>
    </row>
    <row r="152" spans="7:11" ht="14.25" customHeight="1" x14ac:dyDescent="0.25">
      <c r="G152" s="6" t="s">
        <v>185</v>
      </c>
      <c r="H152" s="8">
        <f>SUMIF($F$3:$F$117,"Ralph Dean Blankenship",$H$3:$H$117)</f>
        <v>2468.1800000000003</v>
      </c>
      <c r="I152" s="8">
        <f>SUMIF($F$3:$F$117,"Ralph Dean Blankenship",$I$3:$I$117)</f>
        <v>390.35</v>
      </c>
      <c r="J152" s="8">
        <f>SUMIF($F$3:$F$117,"Ralph Dean Blankenship",$J$3:$J$117)</f>
        <v>2077.83</v>
      </c>
      <c r="K152" s="7">
        <f>SUMIF($F$3:$F$117,"Ralph Dean Blankenship",$K$3:$K$117)</f>
        <v>220214.57</v>
      </c>
    </row>
    <row r="153" spans="7:11" ht="14.25" customHeight="1" x14ac:dyDescent="0.25">
      <c r="G153" s="6" t="s">
        <v>277</v>
      </c>
      <c r="H153" s="8">
        <f>SUMIF($F$3:$F$117,"Raymond Clavel",$H$3:$H$117)</f>
        <v>1</v>
      </c>
      <c r="I153" s="8">
        <f>SUMIF($F$3:$F$117,"Raymond Clavel",$I$3:$I$117)</f>
        <v>0</v>
      </c>
      <c r="J153" s="8">
        <f>SUMIF($F$3:$F$117,"Raymond Clavel",$J$3:$J$117)</f>
        <v>1</v>
      </c>
      <c r="K153" s="7">
        <f>SUMIF($F$3:$F$117,"Raymond Clavel",$K$3:$K$117)</f>
        <v>156</v>
      </c>
    </row>
    <row r="154" spans="7:11" ht="14.25" customHeight="1" x14ac:dyDescent="0.25">
      <c r="G154" s="71" t="s">
        <v>236</v>
      </c>
      <c r="H154" s="8">
        <f>SUMIF($F$3:$F$117,"Robert Prefontaine",$H$3:$H$117)</f>
        <v>0</v>
      </c>
      <c r="I154" s="8">
        <f>SUMIF($F$3:$F$117,"Robert Prefontaine",$I$3:$I$117)</f>
        <v>0</v>
      </c>
      <c r="J154" s="8">
        <f>SUMIF($F$3:$F$117,"Robert Prefontaine",$J$3:$J$117)</f>
        <v>0</v>
      </c>
      <c r="K154" s="7">
        <f>SUMIF($F$3:$F$117,"Robert Prefontaine",$K$3:$K$117)</f>
        <v>0</v>
      </c>
    </row>
    <row r="155" spans="7:11" ht="14.25" customHeight="1" x14ac:dyDescent="0.25">
      <c r="G155" s="70" t="s">
        <v>237</v>
      </c>
      <c r="H155" s="8">
        <f>SUMIF($F$3:$F$117,"Russell Zeman",$H$3:$H$117)</f>
        <v>85</v>
      </c>
      <c r="I155" s="8">
        <f>SUMIF($F$3:$F$117,"Russell Zeman",$I$3:$I$117)</f>
        <v>85</v>
      </c>
      <c r="J155" s="8">
        <f>SUMIF($F$3:$F$117,"Russell Zeman",$J$3:$J$117)</f>
        <v>0</v>
      </c>
      <c r="K155" s="7">
        <f>SUMIF($F$3:$F$117,"Russell Zeman",$K$3:$K$117)</f>
        <v>0</v>
      </c>
    </row>
    <row r="156" spans="7:11" ht="14.25" customHeight="1" x14ac:dyDescent="0.25">
      <c r="G156" s="6" t="s">
        <v>220</v>
      </c>
      <c r="H156" s="8">
        <f>SUMIF($F$3:$F$117,"Scott Hill",$H$3:$H$117)</f>
        <v>493</v>
      </c>
      <c r="I156" s="8">
        <f>SUMIF($F$3:$F$117,"Scott Hill",$I$3:$I$117)</f>
        <v>420.79999999999995</v>
      </c>
      <c r="J156" s="8">
        <f>SUMIF($F$3:$F$117,"Scott Hill",$J$3:$J$117)</f>
        <v>72.2</v>
      </c>
      <c r="K156" s="7">
        <f>SUMIF($F$3:$F$117,"Scott Hill",$K$3:$K$117)</f>
        <v>972.8</v>
      </c>
    </row>
    <row r="157" spans="7:11" ht="14.25" customHeight="1" x14ac:dyDescent="0.25">
      <c r="G157" s="6" t="s">
        <v>222</v>
      </c>
      <c r="H157" s="8">
        <f>SUMIF($F$3:$F$117,"Tom Stearns",$H$3:$H$117)</f>
        <v>6.3</v>
      </c>
      <c r="I157" s="8">
        <f>SUMIF($F$3:$F$117,"Tom Stearns",$I$3:$I$117)</f>
        <v>3</v>
      </c>
      <c r="J157" s="8">
        <f>SUMIF($F$3:$F$117,"Tom Stearns",$J$3:$J$117)</f>
        <v>3.3</v>
      </c>
      <c r="K157" s="7">
        <f>SUMIF($F$3:$F$117,"Tom Stearns",$K$3:$K$117)</f>
        <v>409.71</v>
      </c>
    </row>
    <row r="158" spans="7:11" ht="14.25" customHeight="1" x14ac:dyDescent="0.25">
      <c r="G158" s="6" t="s">
        <v>85</v>
      </c>
      <c r="H158" s="8">
        <f>SUMIF($F$3:$F$117,"St. Nick Forest Products",$H$3:$H$117)</f>
        <v>256</v>
      </c>
      <c r="I158" s="8">
        <f>SUMIF($F$3:$F$117,"St. Nick Forest Products",$I$3:$I$117)</f>
        <v>0</v>
      </c>
      <c r="J158" s="8">
        <f>SUMIF($F$3:$F$117,"St. Nick Forest Products",$J$3:$J$117)</f>
        <v>256</v>
      </c>
      <c r="K158" s="7">
        <f>SUMIF($F$3:$F$117,"St. Nick Forest Products",$K$3:$K$117)</f>
        <v>23320.14</v>
      </c>
    </row>
    <row r="159" spans="7:11" ht="14.25" customHeight="1" x14ac:dyDescent="0.25">
      <c r="G159" s="59" t="s">
        <v>234</v>
      </c>
      <c r="H159" s="8">
        <f>SUMIF($F$3:$F$117,"Tim Lindseth",$H$3:$H$117)</f>
        <v>136</v>
      </c>
      <c r="I159" s="8">
        <f>SUMIF($F$3:$F$117,"Tim Lindseth",$I$3:$I$117)</f>
        <v>136</v>
      </c>
      <c r="J159" s="8">
        <f>SUMIF($F$3:$F$117,"Tim Lindseth",$J$3:$J$117)</f>
        <v>0</v>
      </c>
      <c r="K159" s="7">
        <f>SUMIF($F$3:$F$117,"Tim Lindseth",$K$3:$K$117)</f>
        <v>0</v>
      </c>
    </row>
    <row r="160" spans="7:11" ht="14.25" customHeight="1" x14ac:dyDescent="0.25">
      <c r="G160" s="59" t="s">
        <v>212</v>
      </c>
      <c r="H160" s="8">
        <f>SUMIF($F$3:$F$115,"TM Construction, Inc
TM Construction, Inc",$H$3:$H$115)</f>
        <v>198</v>
      </c>
      <c r="I160" s="8">
        <f>SUMIF($F$3:$F$115,"TM Construction, Inc
TM Construction, Inc",$I$3:$I$115)</f>
        <v>0</v>
      </c>
      <c r="J160" s="8">
        <f>SUMIF($F$3:$F$115,"TM Construction, Inc
TM Construction, Inc",$J$3:$J$115)</f>
        <v>198</v>
      </c>
      <c r="K160" s="7">
        <f>SUMIF($F$3:$F$115,"TM Construction, Inc
TM Construction, Inc",$K$3:$K$115)</f>
        <v>15039.82</v>
      </c>
    </row>
    <row r="161" spans="2:11" ht="14.25" customHeight="1" x14ac:dyDescent="0.25">
      <c r="G161" s="59" t="s">
        <v>263</v>
      </c>
      <c r="H161" s="8">
        <f>SUMIF($F$3:$F$117,"Todd Miller",$H$3:$H$117)</f>
        <v>14.21</v>
      </c>
      <c r="I161" s="8">
        <f>SUMIF($F$3:$F$117,"Todd Miller",$I$3:$I$117)</f>
        <v>0</v>
      </c>
      <c r="J161" s="8">
        <f>SUMIF($F$3:$F$117,"Todd Miller",$J$3:$J$117)</f>
        <v>14.21</v>
      </c>
      <c r="K161" s="7">
        <f>SUMIF($F$3:$F$117,"Todd Miller",$K$3:$K$117)</f>
        <v>58</v>
      </c>
    </row>
    <row r="162" spans="2:11" ht="14.25" customHeight="1" x14ac:dyDescent="0.25">
      <c r="G162" s="6" t="s">
        <v>190</v>
      </c>
      <c r="H162" s="8">
        <f>SUMIF($F$3:$F$117,"Venita Coutlee",$H$3:$H$117)</f>
        <v>31</v>
      </c>
      <c r="I162" s="8">
        <f>SUMIF($F$3:$F$117,"Venita Coutlee",$I$3:$I$117)</f>
        <v>0</v>
      </c>
      <c r="J162" s="8">
        <f>SUMIF($F$3:$F$117,"Venita Coutlee",$J$3:$J$117)</f>
        <v>31</v>
      </c>
      <c r="K162" s="7">
        <f>SUMIF($F$3:$F$117,"Venita Coutlee",$K$3:$K$117)</f>
        <v>149.93</v>
      </c>
    </row>
    <row r="163" spans="2:11" ht="14.25" customHeight="1" x14ac:dyDescent="0.25">
      <c r="G163" s="6" t="s">
        <v>27</v>
      </c>
      <c r="H163" s="8">
        <f t="array" ref="H163">SUMIF($F$3:$F$117,"Viking Lumber Company",$H$3:$H$117)</f>
        <v>134424.24</v>
      </c>
      <c r="I163" s="8">
        <f t="array" ref="I163">SUMIF($F$3:$F$117,"Viking Lumber Company",$I$3:$I$117)</f>
        <v>109538.09</v>
      </c>
      <c r="J163" s="8">
        <f t="array" ref="J163">SUMIF($F$3:$F$117,"Viking Lumber Company",$J$3:$J$117)</f>
        <v>24886.15</v>
      </c>
      <c r="K163" s="7">
        <f t="array" ref="K163">SUMIF($F$3:$F$117,"Viking Lumber Company",$K$3:$K$117)</f>
        <v>798641.69</v>
      </c>
    </row>
    <row r="164" spans="2:11" ht="14.25" customHeight="1" x14ac:dyDescent="0.25">
      <c r="G164" s="6" t="s">
        <v>221</v>
      </c>
      <c r="H164" s="8">
        <f t="array" ref="H164">SUMIF($F$3:$F$117,"Vince Schafer",$H$3:$H$117)</f>
        <v>265</v>
      </c>
      <c r="I164" s="8">
        <f t="array" ref="I164">SUMIF($F$3:$F$117,"Vince Schafer",$I$3:$I$117)</f>
        <v>16</v>
      </c>
      <c r="J164" s="8">
        <f t="array" ref="J164">SUMIF($F$3:$F$117,"Vince Schafer",$J$3:$J$117)</f>
        <v>249</v>
      </c>
      <c r="K164" s="7">
        <f t="array" ref="K164">SUMIF($F$3:$F$117,"Vince Schafer",$K$3:$K$117)</f>
        <v>11737.38</v>
      </c>
    </row>
    <row r="165" spans="2:11" ht="14.25" customHeight="1" x14ac:dyDescent="0.25">
      <c r="G165" s="6" t="s">
        <v>104</v>
      </c>
      <c r="H165" s="8">
        <f>SUMIF($F$3:$F$117,"Western Gold Cedar Products",$H$3:$H$117)</f>
        <v>581.20000000000005</v>
      </c>
      <c r="I165" s="8">
        <f>SUMIF($F$3:$F$117,"Western Gold Cedar Products",$I$3:$I$117)</f>
        <v>581.20000000000005</v>
      </c>
      <c r="J165" s="8">
        <f>SUMIF($F$3:$F$117,"Western Gold Cedar Products",$J$3:$J$117)</f>
        <v>0</v>
      </c>
      <c r="K165" s="7">
        <f>SUMIF($F$3:$F$117,"Western Gold Cedar Products",$K$3:$K$117)</f>
        <v>0</v>
      </c>
    </row>
    <row r="166" spans="2:11" ht="14.25" customHeight="1" x14ac:dyDescent="0.25">
      <c r="G166" s="6" t="s">
        <v>94</v>
      </c>
      <c r="H166" s="8">
        <f>SUMIF($F$3:$F$117,"Whale Bay Woods LLC",$H$3:$H$117)</f>
        <v>1751</v>
      </c>
      <c r="I166" s="8">
        <f>SUMIF($F$3:$F$117,"Whale Bay Woods LLC",$I$3:$I$117)</f>
        <v>1198.68</v>
      </c>
      <c r="J166" s="8">
        <f>SUMIF($F$3:$F$117,"Whale Bay Woods LLC",$J$3:$J$117)</f>
        <v>552.32000000000005</v>
      </c>
      <c r="K166" s="7">
        <f>SUMIF($F$3:$F$117,"Whale Bay Woods LLC",$K$3:$K$117)</f>
        <v>38968.99</v>
      </c>
    </row>
    <row r="167" spans="2:11" ht="14.25" customHeight="1" x14ac:dyDescent="0.25">
      <c r="G167" s="6" t="s">
        <v>194</v>
      </c>
      <c r="H167" s="8">
        <f>SUMIF($F$3:$F$117,"William C Musser",$H$3:$H$117)</f>
        <v>10</v>
      </c>
      <c r="I167" s="8">
        <f>SUMIF($F$3:$F$117,"William C Musser",$I$3:$I$117)</f>
        <v>0</v>
      </c>
      <c r="J167" s="8">
        <f>SUMIF($F$3:$F$117,"William C Musser",$J$3:$J$117)</f>
        <v>10</v>
      </c>
      <c r="K167" s="7">
        <f>SUMIF($F$3:$F$117,"William C Musser",$K$3:$K$117)</f>
        <v>585.91999999999996</v>
      </c>
    </row>
    <row r="168" spans="2:11" ht="14.25" customHeight="1" x14ac:dyDescent="0.25">
      <c r="G168" s="6" t="s">
        <v>38</v>
      </c>
      <c r="H168" s="8">
        <f t="array" ref="H168">SUMIF($F$3:$F$117,"William Kaufman",$H$3:$H$117)</f>
        <v>18</v>
      </c>
      <c r="I168" s="8">
        <f t="array" ref="I168">SUMIF($F$3:$F$117,"William Kaufman",$I$3:$I$117)</f>
        <v>0</v>
      </c>
      <c r="J168" s="8">
        <f t="array" ref="J168">SUMIF($F$3:$F$117,"William Kaufman",$J$3:$J$117)</f>
        <v>18</v>
      </c>
      <c r="K168" s="7">
        <f t="array" ref="K168">SUMIF($F$3:$F$117,"William Kaufman",$K$3:$K$117)</f>
        <v>1179.8399999999999</v>
      </c>
    </row>
    <row r="169" spans="2:11" ht="14.25" customHeight="1" x14ac:dyDescent="0.25">
      <c r="G169" s="32" t="s">
        <v>86</v>
      </c>
      <c r="H169" s="8">
        <f>SUMIF($F$3:$F$117,"William L.Cheney",$H$3:$H$117)</f>
        <v>48</v>
      </c>
      <c r="I169" s="8">
        <f>SUMIF($F$3:$F$117,"William L.Cheney",$I$3:$I$117)</f>
        <v>18.25</v>
      </c>
      <c r="J169" s="8">
        <f>SUMIF($F$3:$F$117,"William L.Cheney",$J$3:$J$117)</f>
        <v>29.75</v>
      </c>
      <c r="K169" s="7">
        <f>SUMIF($F$3:$F$117,"William L.Cheney",$K$3:$K$117)</f>
        <v>125.51</v>
      </c>
    </row>
    <row r="170" spans="2:11" ht="14.25" customHeight="1" x14ac:dyDescent="0.25">
      <c r="H170" s="8"/>
      <c r="I170" s="8"/>
      <c r="J170" s="8"/>
      <c r="K170" s="7"/>
    </row>
    <row r="171" spans="2:11" ht="14.25" customHeight="1" x14ac:dyDescent="0.25">
      <c r="G171" s="6"/>
      <c r="H171" s="8"/>
      <c r="I171" s="8"/>
      <c r="J171" s="8"/>
      <c r="K171" s="7"/>
    </row>
    <row r="172" spans="2:11" ht="14.25" customHeight="1" x14ac:dyDescent="0.25">
      <c r="G172" s="77"/>
      <c r="H172" s="78">
        <f>SUM(H122:H171)</f>
        <v>280624.33</v>
      </c>
      <c r="I172" s="78">
        <f>SUM(I122:I171)</f>
        <v>170536.26</v>
      </c>
      <c r="J172" s="78">
        <f>SUM(J122:J171)</f>
        <v>110088.07000000004</v>
      </c>
      <c r="K172" s="79">
        <f>SUM(K122:K171)</f>
        <v>3317597.9299999992</v>
      </c>
    </row>
    <row r="173" spans="2:11" ht="14.25" customHeight="1" x14ac:dyDescent="0.25">
      <c r="G173" s="1"/>
      <c r="H173" s="1"/>
      <c r="I173" s="1"/>
      <c r="J173" s="1"/>
      <c r="K173" s="1"/>
    </row>
    <row r="175" spans="2:11" ht="30" customHeight="1" x14ac:dyDescent="0.25">
      <c r="G175" s="20" t="s">
        <v>50</v>
      </c>
      <c r="H175" s="56" t="s">
        <v>35</v>
      </c>
      <c r="I175" s="56" t="s">
        <v>34</v>
      </c>
      <c r="J175" s="56" t="s">
        <v>40</v>
      </c>
      <c r="K175" s="56" t="s">
        <v>52</v>
      </c>
    </row>
    <row r="176" spans="2:11" ht="30" customHeight="1" x14ac:dyDescent="0.25">
      <c r="B176" s="21"/>
      <c r="C176" s="22"/>
      <c r="D176" s="10"/>
      <c r="E176" s="10"/>
      <c r="G176" s="62"/>
      <c r="H176" s="68" t="s">
        <v>64</v>
      </c>
      <c r="I176" s="68"/>
      <c r="J176" s="62"/>
      <c r="K176" s="62"/>
    </row>
    <row r="177" spans="2:11" x14ac:dyDescent="0.25">
      <c r="B177" s="11"/>
      <c r="G177" s="9" t="s">
        <v>41</v>
      </c>
      <c r="H177" s="8">
        <f>SUMIF($B$3:$B$117,"100410",$H$3:$H$117)</f>
        <v>0</v>
      </c>
      <c r="I177" s="8">
        <f>SUMIF($B$3:$B$117,"100410",$I$3:$I$117)</f>
        <v>0</v>
      </c>
      <c r="J177" s="8">
        <f>SUMIF($B$3:$B$117,"100410",$J$3:$J$117)</f>
        <v>0</v>
      </c>
      <c r="K177" s="7">
        <f>SUMIF($B$3:$B$117,"100410",$K$3:$K$117)</f>
        <v>0</v>
      </c>
    </row>
    <row r="178" spans="2:11" x14ac:dyDescent="0.25">
      <c r="B178" s="11"/>
      <c r="G178" s="9" t="s">
        <v>42</v>
      </c>
      <c r="H178" s="8">
        <f t="array" ref="H178">SUMIF($B$3:$B$117,"100420",$H$3:$H$117)</f>
        <v>0</v>
      </c>
      <c r="I178" s="8">
        <f t="array" ref="I178">SUMIF($B$3:$B$117,"100420",$I$3:$I$117)</f>
        <v>0</v>
      </c>
      <c r="J178" s="8">
        <f>SUMIF($B$3:$B$117,"100420",$J$3:$J$117)</f>
        <v>0</v>
      </c>
      <c r="K178" s="7">
        <f t="array" ref="K178">SUMIF($B$3:$B$117,"100420",$K$3:$K$117)</f>
        <v>0</v>
      </c>
    </row>
    <row r="179" spans="2:11" x14ac:dyDescent="0.25">
      <c r="B179" s="11"/>
      <c r="G179" s="9" t="s">
        <v>20</v>
      </c>
      <c r="H179" s="8">
        <f t="array" ref="H179">SUMIF($B$3:$B$117,"100430",$H$3:$H$117)</f>
        <v>184.5</v>
      </c>
      <c r="I179" s="8">
        <f t="array" ref="I179">SUMIF($B$3:$B$117,"100430",$I$3:$I$117)</f>
        <v>0</v>
      </c>
      <c r="J179" s="8">
        <f t="array" ref="J179">SUMIF($B$3:$B$117,"100430",$J$3:$J$117)</f>
        <v>184.5</v>
      </c>
      <c r="K179" s="7">
        <f t="array" ref="K179">SUMIF($B$3:$B$117,"100430",$K$3:$K$117)</f>
        <v>6747</v>
      </c>
    </row>
    <row r="180" spans="2:11" x14ac:dyDescent="0.25">
      <c r="B180" s="11"/>
      <c r="G180" s="9" t="s">
        <v>18</v>
      </c>
      <c r="H180" s="8">
        <f t="array" ref="H180">SUMIF($B$3:$B$117,"100521",$H$3:$H$117)</f>
        <v>72024.77</v>
      </c>
      <c r="I180" s="8">
        <f t="array" ref="I180">SUMIF($B$3:$B$117,"100521",$I$3:$I$117)</f>
        <v>47096.639999999999</v>
      </c>
      <c r="J180" s="8">
        <f t="array" ref="J180">SUMIF($B$3:$B$117,"100521",$J$3:$J$117)</f>
        <v>24928.13</v>
      </c>
      <c r="K180" s="7">
        <f t="array" ref="K180">SUMIF($B$3:$B$117,"100521",$K$3:$K$117)</f>
        <v>799676.86</v>
      </c>
    </row>
    <row r="181" spans="2:11" x14ac:dyDescent="0.25">
      <c r="B181" s="11"/>
      <c r="G181" s="9" t="s">
        <v>19</v>
      </c>
      <c r="H181" s="8">
        <f t="array" ref="H181">SUMIF($B$3:$B$117,"100522",$H$3:$H$117)</f>
        <v>58946.76</v>
      </c>
      <c r="I181" s="8">
        <f t="array" ref="I181">SUMIF($B$3:$B$117,"100522",$I$3:$I$117)</f>
        <v>24167.759999999998</v>
      </c>
      <c r="J181" s="8">
        <f t="array" ref="J181">SUMIF($B$3:$B$117,"100522",$J$3:$J$117)</f>
        <v>34779</v>
      </c>
      <c r="K181" s="7">
        <f t="array" ref="K181">SUMIF($B$3:$B$117,"100522",$K$3:$K$117)</f>
        <v>1093437.8000000003</v>
      </c>
    </row>
    <row r="182" spans="2:11" x14ac:dyDescent="0.25">
      <c r="B182" s="11"/>
      <c r="G182" s="9" t="s">
        <v>43</v>
      </c>
      <c r="H182" s="8">
        <f t="array" ref="H182">SUMIF($B$3:$B$117,"100531",$H$3:$H$117)</f>
        <v>7816.5</v>
      </c>
      <c r="I182" s="8">
        <f t="array" ref="I182">SUMIF($B$3:$B$117,"100531",$I$3:$I$117)</f>
        <v>172.29000000000002</v>
      </c>
      <c r="J182" s="8">
        <f t="array" ref="J182">SUMIF($B$3:$B$117,"100531",$J$3:$J$117)</f>
        <v>7644.21</v>
      </c>
      <c r="K182" s="7">
        <f t="array" ref="K182">SUMIF($B$3:$B$117,"100531",$K$3:$K$117)</f>
        <v>39518</v>
      </c>
    </row>
    <row r="183" spans="2:11" x14ac:dyDescent="0.25">
      <c r="B183" s="11"/>
      <c r="G183" s="9" t="s">
        <v>14</v>
      </c>
      <c r="H183" s="8">
        <f t="array" ref="H183">SUMIF($B$3:$B$117,"100532",$H$3:$H$117)</f>
        <v>11169.46</v>
      </c>
      <c r="I183" s="8">
        <f t="array" ref="I183">SUMIF($B$3:$B$117,"100532",$I$3:$I$117)</f>
        <v>1368.01</v>
      </c>
      <c r="J183" s="8">
        <f t="array" ref="J183">SUMIF($B$3:$B$117,"100532",$J$3:$J$117)</f>
        <v>9801.4500000000007</v>
      </c>
      <c r="K183" s="7">
        <f t="array" ref="K183">SUMIF($B$3:$B$117,"100532",$K$3:$K$117)</f>
        <v>97604.06</v>
      </c>
    </row>
    <row r="184" spans="2:11" x14ac:dyDescent="0.25">
      <c r="B184" s="11"/>
      <c r="G184" s="9" t="s">
        <v>17</v>
      </c>
      <c r="H184" s="8">
        <f t="array" ref="H184">SUMIF($B$3:$B$117,"100533",$H$3:$H$117)</f>
        <v>3998</v>
      </c>
      <c r="I184" s="8">
        <f t="array" ref="I184">SUMIF($B$3:$B$117,"100533",$I$3:$I$117)</f>
        <v>96</v>
      </c>
      <c r="J184" s="8">
        <f>SUMIF($B$3:$B$117,"100533",$J$3:$J$117)</f>
        <v>3902</v>
      </c>
      <c r="K184" s="7">
        <f t="array" ref="K184">SUMIF($B$3:$B$117,"100533",$K$3:$K$117)</f>
        <v>192979.42</v>
      </c>
    </row>
    <row r="185" spans="2:11" x14ac:dyDescent="0.25">
      <c r="B185" s="11"/>
      <c r="G185" s="9" t="s">
        <v>44</v>
      </c>
      <c r="H185" s="8">
        <f>SUMIF($B$3:$B$117,"100534",$H$3:$H$117)</f>
        <v>0</v>
      </c>
      <c r="I185" s="8">
        <f>SUMIF($B$3:$B$117,"100534",$I$3:$I$117)</f>
        <v>0</v>
      </c>
      <c r="J185" s="8">
        <f>SUMIF($B$3:$B$117,"100534",$J$3:$J$117)</f>
        <v>0</v>
      </c>
      <c r="K185" s="7">
        <f t="array" ref="K185">SUMIF($B$3:$B$117,"100534",$K$3:$K$117)</f>
        <v>0</v>
      </c>
    </row>
    <row r="186" spans="2:11" x14ac:dyDescent="0.25">
      <c r="B186" s="11"/>
      <c r="G186" s="9" t="s">
        <v>12</v>
      </c>
      <c r="H186" s="8">
        <f t="array" ref="H186">SUMIF($B$3:$B$117,"100535",$H$3:$H$117)</f>
        <v>0</v>
      </c>
      <c r="I186" s="8">
        <f t="array" ref="I186">SUMIF($B$3:$B$117,"100535",$I$3:$I$117)</f>
        <v>0</v>
      </c>
      <c r="J186" s="8">
        <f>SUMIF($B$3:$B$117,"100535",$J$3:$J$117)</f>
        <v>0</v>
      </c>
      <c r="K186" s="7">
        <f t="array" ref="K186">SUMIF($B$3:$B$117,"100535",$K$3:$K$117)</f>
        <v>0</v>
      </c>
    </row>
    <row r="187" spans="2:11" x14ac:dyDescent="0.25">
      <c r="B187" s="11"/>
      <c r="G187" s="9" t="s">
        <v>15</v>
      </c>
      <c r="H187" s="8">
        <f t="array" ref="H187">SUMIF($B$3:$B$117,"100551",$H$3:$H$117)</f>
        <v>413.73</v>
      </c>
      <c r="I187" s="8">
        <f t="array" ref="I187">SUMIF($B$3:$B$117,"100551",$I$3:$I$117)</f>
        <v>144.72999999999999</v>
      </c>
      <c r="J187" s="8">
        <f t="array" ref="J187">SUMIF($B$3:$B$117,"100551",$J$3:$J$117)</f>
        <v>269</v>
      </c>
      <c r="K187" s="7">
        <f t="array" ref="K187">SUMIF($B$3:$B$117,"100551",$K$3:$K$117)</f>
        <v>24145.1</v>
      </c>
    </row>
    <row r="188" spans="2:11" x14ac:dyDescent="0.25">
      <c r="B188" s="11"/>
      <c r="G188" s="9" t="s">
        <v>16</v>
      </c>
      <c r="H188" s="8">
        <f t="array" ref="H188">SUMIF($B$3:$B$117,"100552",$H$3:$H$117)</f>
        <v>45992.630000000005</v>
      </c>
      <c r="I188" s="8">
        <f t="array" ref="I188">SUMIF($B$3:$B$117,"100552",$I$3:$I$117)</f>
        <v>30941.79</v>
      </c>
      <c r="J188" s="8">
        <f t="array" ref="J188">SUMIF($B$3:$B$117,"100552",$J$3:$J$117)</f>
        <v>15050.84</v>
      </c>
      <c r="K188" s="7">
        <f>SUMIF($B$3:$B$117,"100552",$K$3:$K$117)</f>
        <v>167163.44</v>
      </c>
    </row>
    <row r="189" spans="2:11" x14ac:dyDescent="0.25">
      <c r="B189" s="11"/>
      <c r="G189" s="9" t="s">
        <v>13</v>
      </c>
      <c r="H189" s="8">
        <f>SUMIF($B$3:$B$117,"100554",$H$3:$H$117)</f>
        <v>80077.98</v>
      </c>
      <c r="I189" s="8">
        <f>SUMIF($B$3:$B$117,"100554",$I$3:$I$117)</f>
        <v>66549.039999999994</v>
      </c>
      <c r="J189" s="8">
        <f>SUMIF($B$3:$B$117,"100554",$J$3:$J$117)</f>
        <v>13528.939999999999</v>
      </c>
      <c r="K189" s="7">
        <f>SUMIF($B$3:$B$117,"100554",$K$3:$K$117)</f>
        <v>896326.24999999977</v>
      </c>
    </row>
    <row r="190" spans="2:11" x14ac:dyDescent="0.25">
      <c r="G190" s="1"/>
      <c r="H190" s="8"/>
      <c r="I190" s="8"/>
      <c r="J190" s="8"/>
      <c r="K190" s="7"/>
    </row>
    <row r="191" spans="2:11" ht="14.25" customHeight="1" x14ac:dyDescent="0.25">
      <c r="G191" s="14"/>
      <c r="H191" s="57">
        <f>SUM(H177:H189)</f>
        <v>280624.33</v>
      </c>
      <c r="I191" s="57">
        <f>SUM(I177:I189)</f>
        <v>170536.25999999995</v>
      </c>
      <c r="J191" s="57">
        <f>SUM(J177:J189)</f>
        <v>110088.07</v>
      </c>
      <c r="K191" s="35">
        <f>SUM(K177:K189)</f>
        <v>3317597.9299999997</v>
      </c>
    </row>
  </sheetData>
  <sortState ref="G121:K150">
    <sortCondition ref="G121:G150"/>
  </sortState>
  <phoneticPr fontId="0" type="noConversion"/>
  <printOptions horizontalCentered="1"/>
  <pageMargins left="0.25" right="0.25" top="0.5" bottom="0.5" header="0" footer="0"/>
  <pageSetup scale="72" fitToHeight="0" orientation="landscape" cellComments="atEnd" r:id="rId1"/>
  <headerFooter>
    <oddHeader>&amp;L&amp;12 U.S. Forest Service, Alaska Region, Remaining Timber Sales/Permits Volumes and Values on September 30, 2013</oddHeader>
    <oddFooter>&amp;L&amp;12Page &amp;P of &amp;N&amp;C&amp;12&amp;Z&amp;F&amp;R&amp;12Gene Miller, Compiled &amp;D</oddFooter>
  </headerFooter>
  <rowBreaks count="4" manualBreakCount="4">
    <brk id="36" max="16383" man="1"/>
    <brk id="71" max="16383" man="1"/>
    <brk id="107" max="16383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3.2" x14ac:dyDescent="0.25"/>
  <sheetData/>
  <phoneticPr fontId="0" type="noConversion"/>
  <pageMargins left="0.75" right="0.75" top="1" bottom="1" header="0.5" footer="0.5"/>
  <pageSetup orientation="portrait" verticalDpi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orientation="portrait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Volume Under Contract</vt:lpstr>
      <vt:lpstr>Sheet2</vt:lpstr>
      <vt:lpstr>Sheet3</vt:lpstr>
    </vt:vector>
  </TitlesOfParts>
  <Company>USDA 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USDA Forest Service</cp:lastModifiedBy>
  <cp:lastPrinted>2013-10-31T21:08:14Z</cp:lastPrinted>
  <dcterms:created xsi:type="dcterms:W3CDTF">2000-01-21T21:34:04Z</dcterms:created>
  <dcterms:modified xsi:type="dcterms:W3CDTF">2013-11-21T21:33:35Z</dcterms:modified>
</cp:coreProperties>
</file>