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ulack\Box\01. melissa.kulack Workspace\Web\Web docs\Timber\"/>
    </mc:Choice>
  </mc:AlternateContent>
  <xr:revisionPtr revIDLastSave="0" documentId="8_{0E3208AF-55BB-4F6A-9E17-0DF8FD576DEB}" xr6:coauthVersionLast="47" xr6:coauthVersionMax="47" xr10:uidLastSave="{00000000-0000-0000-0000-000000000000}"/>
  <bookViews>
    <workbookView xWindow="-110" yWindow="-110" windowWidth="19420" windowHeight="10420" tabRatio="318" xr2:uid="{00000000-000D-0000-FFFF-FFFF00000000}"/>
  </bookViews>
  <sheets>
    <sheet name="Volume Under Contract" sheetId="1" r:id="rId1"/>
  </sheets>
  <definedNames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1" i="1" l="1"/>
  <c r="K51" i="1"/>
  <c r="J51" i="1"/>
  <c r="I51" i="1"/>
  <c r="H51" i="1"/>
  <c r="C51" i="1"/>
  <c r="H60" i="1"/>
  <c r="C60" i="1"/>
  <c r="L60" i="1" l="1"/>
  <c r="K60" i="1"/>
  <c r="J60" i="1"/>
  <c r="I60" i="1"/>
  <c r="K11" i="1" l="1"/>
  <c r="L82" i="1" l="1"/>
  <c r="J82" i="1"/>
  <c r="I82" i="1"/>
  <c r="K31" i="1"/>
  <c r="K82" i="1" s="1"/>
  <c r="K39" i="1" l="1"/>
  <c r="A39" i="1"/>
  <c r="K18" i="1"/>
  <c r="K17" i="1"/>
  <c r="L79" i="1" l="1"/>
  <c r="J79" i="1"/>
  <c r="I79" i="1"/>
  <c r="K28" i="1"/>
  <c r="K79" i="1" s="1"/>
  <c r="K46" i="1"/>
  <c r="A46" i="1"/>
  <c r="K45" i="1"/>
  <c r="A45" i="1"/>
  <c r="A44" i="1" l="1"/>
  <c r="K34" i="1" l="1"/>
  <c r="K56" i="1" l="1"/>
  <c r="A56" i="1"/>
  <c r="I67" i="1" l="1"/>
  <c r="K15" i="1" l="1"/>
  <c r="L93" i="1"/>
  <c r="L92" i="1"/>
  <c r="K93" i="1"/>
  <c r="J93" i="1"/>
  <c r="J92" i="1"/>
  <c r="I93" i="1"/>
  <c r="I92" i="1"/>
  <c r="K33" i="1" l="1"/>
  <c r="K10" i="1" l="1"/>
  <c r="L68" i="1"/>
  <c r="K68" i="1"/>
  <c r="J68" i="1"/>
  <c r="I68" i="1"/>
  <c r="L66" i="1"/>
  <c r="J66" i="1"/>
  <c r="I66" i="1"/>
  <c r="K29" i="1" l="1"/>
  <c r="K27" i="1" l="1"/>
  <c r="A27" i="1"/>
  <c r="L74" i="1" l="1"/>
  <c r="K74" i="1"/>
  <c r="J74" i="1"/>
  <c r="I74" i="1"/>
  <c r="K26" i="1" l="1"/>
  <c r="A26" i="1"/>
  <c r="J75" i="1" l="1"/>
  <c r="L115" i="1" l="1"/>
  <c r="L75" i="1"/>
  <c r="K65" i="1"/>
  <c r="I86" i="1"/>
  <c r="L69" i="1"/>
  <c r="L67" i="1"/>
  <c r="L65" i="1"/>
  <c r="L64" i="1"/>
  <c r="J64" i="1"/>
  <c r="I91" i="1"/>
  <c r="I88" i="1"/>
  <c r="I89" i="1"/>
  <c r="I72" i="1"/>
  <c r="I87" i="1"/>
  <c r="I85" i="1"/>
  <c r="I84" i="1"/>
  <c r="I83" i="1"/>
  <c r="I81" i="1"/>
  <c r="I80" i="1"/>
  <c r="I78" i="1"/>
  <c r="I77" i="1"/>
  <c r="I76" i="1"/>
  <c r="I75" i="1"/>
  <c r="I73" i="1"/>
  <c r="I71" i="1"/>
  <c r="I70" i="1"/>
  <c r="I69" i="1"/>
  <c r="J69" i="1"/>
  <c r="K67" i="1"/>
  <c r="J67" i="1"/>
  <c r="J65" i="1"/>
  <c r="K64" i="1"/>
  <c r="J115" i="1"/>
  <c r="I115" i="1"/>
  <c r="I65" i="1"/>
  <c r="I64" i="1"/>
  <c r="K43" i="1" l="1"/>
  <c r="K12" i="1" l="1"/>
  <c r="K75" i="1"/>
  <c r="K92" i="1" l="1"/>
  <c r="K25" i="1" l="1"/>
  <c r="K41" i="1"/>
  <c r="K32" i="1" l="1"/>
  <c r="K115" i="1" s="1"/>
  <c r="K30" i="1" l="1"/>
  <c r="K9" i="1" l="1"/>
  <c r="L88" i="1"/>
  <c r="L87" i="1"/>
  <c r="K88" i="1"/>
  <c r="K87" i="1"/>
  <c r="J88" i="1"/>
  <c r="J87" i="1"/>
  <c r="L77" i="1"/>
  <c r="K77" i="1"/>
  <c r="J77" i="1"/>
  <c r="K66" i="1" l="1"/>
  <c r="L63" i="1"/>
  <c r="K63" i="1"/>
  <c r="J63" i="1"/>
  <c r="I63" i="1"/>
  <c r="L86" i="1"/>
  <c r="L85" i="1"/>
  <c r="K86" i="1"/>
  <c r="K85" i="1"/>
  <c r="J86" i="1"/>
  <c r="J85" i="1"/>
  <c r="L70" i="1"/>
  <c r="K70" i="1"/>
  <c r="J70" i="1"/>
  <c r="A34" i="1" l="1"/>
  <c r="A9" i="1" l="1"/>
  <c r="A13" i="1"/>
  <c r="A14" i="1"/>
  <c r="A25" i="1"/>
  <c r="A30" i="1" l="1"/>
  <c r="A32" i="1"/>
  <c r="A33" i="1"/>
  <c r="A38" i="1"/>
  <c r="A40" i="1"/>
  <c r="A41" i="1"/>
  <c r="A42" i="1"/>
  <c r="K69" i="1" l="1"/>
  <c r="L80" i="1" l="1"/>
  <c r="K80" i="1"/>
  <c r="J80" i="1"/>
  <c r="L78" i="1"/>
  <c r="K78" i="1"/>
  <c r="J78" i="1"/>
  <c r="J62" i="1" l="1"/>
  <c r="K62" i="1"/>
  <c r="L62" i="1"/>
  <c r="I62" i="1"/>
  <c r="H62" i="1"/>
  <c r="C62" i="1"/>
  <c r="L89" i="1" l="1"/>
  <c r="K89" i="1"/>
  <c r="J89" i="1"/>
  <c r="L84" i="1" l="1"/>
  <c r="K84" i="1"/>
  <c r="J84" i="1"/>
  <c r="L81" i="1" l="1"/>
  <c r="K81" i="1"/>
  <c r="J81" i="1"/>
  <c r="J71" i="1" l="1"/>
  <c r="K71" i="1"/>
  <c r="L71" i="1"/>
  <c r="J72" i="1"/>
  <c r="K72" i="1"/>
  <c r="L72" i="1"/>
  <c r="J73" i="1" a="1"/>
  <c r="J73" i="1" s="1"/>
  <c r="K73" i="1" a="1"/>
  <c r="K73" i="1" s="1"/>
  <c r="L73" i="1" a="1"/>
  <c r="L73" i="1" s="1"/>
  <c r="J76" i="1"/>
  <c r="K76" i="1"/>
  <c r="L76" i="1"/>
  <c r="J83" i="1" a="1"/>
  <c r="J83" i="1" s="1"/>
  <c r="K83" i="1" a="1"/>
  <c r="K83" i="1" s="1"/>
  <c r="L83" i="1" a="1"/>
  <c r="L83" i="1" s="1"/>
  <c r="J90" i="1"/>
  <c r="K90" i="1"/>
  <c r="L90" i="1"/>
  <c r="J91" i="1" a="1"/>
  <c r="J91" i="1" s="1"/>
  <c r="K91" i="1" a="1"/>
  <c r="K91" i="1" s="1"/>
  <c r="L91" i="1" a="1"/>
  <c r="L91" i="1" s="1"/>
  <c r="L95" i="1" l="1"/>
  <c r="K95" i="1"/>
  <c r="J95" i="1"/>
  <c r="I95" i="1"/>
  <c r="K112" i="1" l="1"/>
  <c r="K111" i="1"/>
  <c r="K110" i="1"/>
  <c r="K102" i="1"/>
  <c r="K101" i="1"/>
  <c r="L114" i="1"/>
  <c r="K114" i="1" a="1"/>
  <c r="K114" i="1" s="1"/>
  <c r="J114" i="1" a="1"/>
  <c r="J114" i="1" s="1"/>
  <c r="I114" i="1" a="1"/>
  <c r="I114" i="1" s="1"/>
  <c r="L113" i="1" a="1"/>
  <c r="L113" i="1" s="1"/>
  <c r="K113" i="1" a="1"/>
  <c r="K113" i="1" s="1"/>
  <c r="J113" i="1" a="1"/>
  <c r="J113" i="1" s="1"/>
  <c r="I113" i="1" a="1"/>
  <c r="I113" i="1" s="1"/>
  <c r="L112" i="1" a="1"/>
  <c r="L112" i="1" s="1"/>
  <c r="J112" i="1" a="1"/>
  <c r="J112" i="1" s="1"/>
  <c r="I112" i="1" a="1"/>
  <c r="I112" i="1" s="1"/>
  <c r="L111" i="1" a="1"/>
  <c r="L111" i="1" s="1"/>
  <c r="J111" i="1"/>
  <c r="I111" i="1"/>
  <c r="L110" i="1" a="1"/>
  <c r="L110" i="1" s="1"/>
  <c r="J110" i="1" a="1"/>
  <c r="J110" i="1" s="1"/>
  <c r="I110" i="1" a="1"/>
  <c r="I110" i="1" s="1"/>
  <c r="L109" i="1" a="1"/>
  <c r="L109" i="1" s="1"/>
  <c r="K109" i="1" a="1"/>
  <c r="K109" i="1" s="1"/>
  <c r="J109" i="1" a="1"/>
  <c r="J109" i="1" s="1"/>
  <c r="I109" i="1" a="1"/>
  <c r="I109" i="1" s="1"/>
  <c r="L108" i="1" a="1"/>
  <c r="L108" i="1" s="1"/>
  <c r="K108" i="1" a="1"/>
  <c r="K108" i="1" s="1"/>
  <c r="J108" i="1" a="1"/>
  <c r="J108" i="1" s="1"/>
  <c r="I108" i="1" a="1"/>
  <c r="I108" i="1" s="1"/>
  <c r="L107" i="1" a="1"/>
  <c r="L107" i="1" s="1"/>
  <c r="K107" i="1" a="1"/>
  <c r="K107" i="1" s="1"/>
  <c r="J107" i="1" a="1"/>
  <c r="J107" i="1" s="1"/>
  <c r="I107" i="1" a="1"/>
  <c r="I107" i="1" s="1"/>
  <c r="L106" i="1" a="1"/>
  <c r="L106" i="1" s="1"/>
  <c r="K106" i="1" a="1"/>
  <c r="K106" i="1" s="1"/>
  <c r="J106" i="1" a="1"/>
  <c r="J106" i="1" s="1"/>
  <c r="I106" i="1" a="1"/>
  <c r="I106" i="1" s="1"/>
  <c r="L103" i="1" a="1"/>
  <c r="L103" i="1" s="1"/>
  <c r="K103" i="1" a="1"/>
  <c r="J103" i="1" a="1"/>
  <c r="J103" i="1" s="1"/>
  <c r="I103" i="1" a="1"/>
  <c r="I103" i="1" s="1"/>
  <c r="L102" i="1" a="1"/>
  <c r="L102" i="1" s="1"/>
  <c r="J102" i="1" a="1"/>
  <c r="J102" i="1" s="1"/>
  <c r="I102" i="1" a="1"/>
  <c r="I102" i="1" s="1"/>
  <c r="L101" i="1"/>
  <c r="J101" i="1"/>
  <c r="I101" i="1"/>
  <c r="L119" i="1"/>
  <c r="I119" i="1"/>
  <c r="I117" i="1" l="1"/>
  <c r="J121" i="1"/>
  <c r="L121" i="1"/>
  <c r="I121" i="1"/>
  <c r="K119" i="1"/>
  <c r="K103" i="1"/>
  <c r="K117" i="1" s="1"/>
  <c r="J119" i="1"/>
  <c r="L117" i="1"/>
  <c r="J117" i="1"/>
  <c r="K121" i="1" l="1"/>
</calcChain>
</file>

<file path=xl/sharedStrings.xml><?xml version="1.0" encoding="utf-8"?>
<sst xmlns="http://schemas.openxmlformats.org/spreadsheetml/2006/main" count="288" uniqueCount="187">
  <si>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</si>
  <si>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</si>
  <si>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</si>
  <si>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</si>
  <si>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</si>
  <si>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</si>
  <si>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</si>
  <si>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</si>
  <si>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</si>
  <si>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</si>
  <si>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</si>
  <si>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</si>
  <si>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</si>
  <si>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</si>
  <si>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</si>
  <si>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</si>
  <si>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</si>
  <si>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</si>
  <si>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</si>
  <si>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</si>
  <si>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</si>
  <si>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</si>
  <si>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</si>
  <si>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</si>
  <si>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</si>
  <si>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</si>
  <si>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</si>
  <si>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</si>
  <si>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</si>
  <si>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</si>
  <si>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</si>
  <si>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</si>
  <si>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</si>
  <si>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</si>
  <si>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</si>
  <si>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</si>
  <si>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</si>
  <si>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</si>
  <si>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</si>
  <si>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</si>
  <si>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</si>
  <si>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</si>
  <si>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Last Stand</t>
  </si>
  <si>
    <t>063688</t>
  </si>
  <si>
    <t>Micheal B Allen Jr</t>
  </si>
  <si>
    <t>Alaska Musicwood Industries</t>
  </si>
  <si>
    <t>6T</t>
  </si>
  <si>
    <t>K &amp; D Lumber</t>
  </si>
  <si>
    <t>Buck Rush Reoffer</t>
  </si>
  <si>
    <t>064462</t>
  </si>
  <si>
    <t>Alcan Timber Inc</t>
  </si>
  <si>
    <t>Sand Pit #2 Settlement</t>
  </si>
  <si>
    <t>T.L.C. Management, LLC</t>
  </si>
  <si>
    <t>Tightline</t>
  </si>
  <si>
    <t>064579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</si>
  <si>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</si>
  <si>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</si>
  <si>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</si>
  <si>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</si>
  <si>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</si>
  <si>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</si>
  <si>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</si>
  <si>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</si>
  <si>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</si>
  <si>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</si>
  <si>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</si>
  <si>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</si>
  <si>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</si>
  <si>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</si>
  <si>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</si>
  <si>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</si>
  <si>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</si>
  <si>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</si>
  <si>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</si>
  <si>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</si>
  <si>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</si>
  <si>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</si>
  <si>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</si>
  <si>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</si>
  <si>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</si>
  <si>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</si>
  <si>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</si>
  <si>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</si>
  <si>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</si>
  <si>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</si>
  <si>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</si>
  <si>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</si>
  <si>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</si>
  <si>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</si>
  <si>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</si>
  <si>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</si>
  <si>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</si>
  <si>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</si>
  <si>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</si>
  <si>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Snakey</t>
  </si>
  <si>
    <t>064983</t>
  </si>
  <si>
    <t>Spencer F Pitcher</t>
  </si>
  <si>
    <t>State of Alaska</t>
  </si>
  <si>
    <t>GNA Kosciusko Young Growth</t>
  </si>
  <si>
    <t>065014</t>
  </si>
  <si>
    <t>063639</t>
  </si>
  <si>
    <t>065071</t>
  </si>
  <si>
    <t>Sterling Chew</t>
  </si>
  <si>
    <t>Combo</t>
  </si>
  <si>
    <t>065097</t>
  </si>
  <si>
    <t>Rough Luck</t>
  </si>
  <si>
    <t>065139</t>
  </si>
  <si>
    <t>Angel Wings</t>
  </si>
  <si>
    <t>065154</t>
  </si>
  <si>
    <t>Microsale 258</t>
  </si>
  <si>
    <t>CRIB</t>
  </si>
  <si>
    <t>GSTT</t>
  </si>
  <si>
    <t>The Nature Conservancy</t>
  </si>
  <si>
    <t>Staney Cointent Stew. Agree</t>
  </si>
  <si>
    <t>065170</t>
  </si>
  <si>
    <t>065188</t>
  </si>
  <si>
    <t>Balls Lake</t>
  </si>
  <si>
    <t>065121</t>
  </si>
  <si>
    <t>Ernie Eads</t>
  </si>
  <si>
    <t>Alaska Milling &amp; Fabrication LLC</t>
  </si>
  <si>
    <t>065204</t>
  </si>
  <si>
    <t>21T</t>
  </si>
  <si>
    <t>JK Forest Products LLC</t>
  </si>
  <si>
    <t>065212</t>
  </si>
  <si>
    <t>Microsale 241</t>
  </si>
  <si>
    <t>Jerry Baker</t>
  </si>
  <si>
    <t xml:space="preserve"> </t>
  </si>
  <si>
    <t>065253</t>
  </si>
  <si>
    <t>GNA Vallenar Young Growth</t>
  </si>
  <si>
    <t>065261</t>
  </si>
  <si>
    <t>Little Honker</t>
  </si>
  <si>
    <t>High Tower</t>
  </si>
  <si>
    <t>Microsale 266</t>
  </si>
  <si>
    <t>Microsale 265</t>
  </si>
  <si>
    <t>Microsale 264</t>
  </si>
  <si>
    <t>James Stevens</t>
  </si>
  <si>
    <t>Snakey 70A</t>
  </si>
  <si>
    <t>Snakey 70B</t>
  </si>
  <si>
    <t>065329</t>
  </si>
  <si>
    <t>065287</t>
  </si>
  <si>
    <t>065295</t>
  </si>
  <si>
    <t>065303</t>
  </si>
  <si>
    <t>065311</t>
  </si>
  <si>
    <t>065337</t>
  </si>
  <si>
    <t>Snakey 70C</t>
  </si>
  <si>
    <t>065279</t>
  </si>
  <si>
    <t>Andrew Cowan</t>
  </si>
  <si>
    <t>065345</t>
  </si>
  <si>
    <t>MISS #1</t>
  </si>
  <si>
    <t>William Kaufman</t>
  </si>
  <si>
    <t>065394</t>
  </si>
  <si>
    <t>MISS #3</t>
  </si>
  <si>
    <t>002778</t>
  </si>
  <si>
    <t>Turnagain Quarry Settlement 2</t>
  </si>
  <si>
    <t>065410</t>
  </si>
  <si>
    <t>Microsale 270</t>
  </si>
  <si>
    <t>065402</t>
  </si>
  <si>
    <t>North Snakey</t>
  </si>
  <si>
    <t>065238</t>
  </si>
  <si>
    <t>South Snakey</t>
  </si>
  <si>
    <t>065428</t>
  </si>
  <si>
    <t>512/2020</t>
  </si>
  <si>
    <t>Microsale 271 YG</t>
  </si>
  <si>
    <t>065436</t>
  </si>
  <si>
    <t>In Between Resale 2</t>
  </si>
  <si>
    <t>065444</t>
  </si>
  <si>
    <t>Kari Baekkelund</t>
  </si>
  <si>
    <t>MISS #5</t>
  </si>
  <si>
    <t>065469</t>
  </si>
  <si>
    <t>Game Board</t>
  </si>
  <si>
    <t>065477</t>
  </si>
  <si>
    <t>065451</t>
  </si>
  <si>
    <t>Murray Creek YG</t>
  </si>
  <si>
    <t>TUGGIT</t>
  </si>
  <si>
    <t>065485</t>
  </si>
  <si>
    <t>Peter J Litsheim</t>
  </si>
  <si>
    <t>MISS #6</t>
  </si>
  <si>
    <t>065493</t>
  </si>
  <si>
    <t>MISS #4</t>
  </si>
  <si>
    <t>065501</t>
  </si>
  <si>
    <t>Microsale 273</t>
  </si>
  <si>
    <t>U.S. Forest Service, Alaska Region, Remaining Timber Sales Volumes and Values on September 30, 2020</t>
  </si>
  <si>
    <t>065527</t>
  </si>
  <si>
    <t>4</t>
  </si>
  <si>
    <t>MISS #7</t>
  </si>
  <si>
    <t>002786</t>
  </si>
  <si>
    <t>Angry Bird Fuelwood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</si>
</sst>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2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165" fontId="35" fillId="0" borderId="11" xfId="0" applyNumberFormat="1" applyFont="1" applyBorder="1" applyAlignment="1">
      <alignment horizontal="center" wrapText="1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0" applyFont="1" applyAlignment="1">
      <alignment vertical="center"/>
    </xf>
    <xf numFmtId="0" fontId="54" fillId="0" borderId="0" xfId="588" applyFont="1" applyAlignment="1">
      <alignment vertical="center"/>
    </xf>
    <xf numFmtId="0" fontId="54" fillId="0" borderId="0" xfId="588" applyFont="1"/>
    <xf numFmtId="0" fontId="54" fillId="0" borderId="0" xfId="588" applyFont="1" applyAlignment="1">
      <alignment horizontal="left" wrapText="1"/>
    </xf>
    <xf numFmtId="0" fontId="54" fillId="0" borderId="0" xfId="560" applyFont="1"/>
    <xf numFmtId="0" fontId="35" fillId="0" borderId="0" xfId="0" applyFont="1" applyAlignment="1">
      <alignment vertical="center" wrapText="1"/>
    </xf>
    <xf numFmtId="0" fontId="54" fillId="0" borderId="0" xfId="39" applyFont="1" applyAlignment="1">
      <alignment vertical="center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0" fontId="54" fillId="0" borderId="0" xfId="155" applyFont="1" applyAlignment="1">
      <alignment vertical="center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4"/>
  <sheetViews>
    <sheetView tabSelected="1" zoomScale="80" zoomScaleNormal="80" zoomScaleSheetLayoutView="100" zoomScalePageLayoutView="70" workbookViewId="0">
      <pane ySplit="2" topLeftCell="A24" activePane="bottomLeft" state="frozen"/>
      <selection pane="bottomLeft" activeCell="L52" sqref="L52"/>
    </sheetView>
  </sheetViews>
  <sheetFormatPr defaultColWidth="9.1796875" defaultRowHeight="15.5" x14ac:dyDescent="0.35"/>
  <cols>
    <col min="1" max="1" width="15.26953125" style="7" customWidth="1"/>
    <col min="2" max="2" width="10.54296875" style="77" bestFit="1" customWidth="1"/>
    <col min="3" max="3" width="12.81640625" style="77" customWidth="1"/>
    <col min="4" max="4" width="9.26953125" style="77" customWidth="1"/>
    <col min="5" max="6" width="14" style="19" customWidth="1"/>
    <col min="7" max="7" width="34.7265625" style="7" customWidth="1"/>
    <col min="8" max="8" width="31" style="8" customWidth="1"/>
    <col min="9" max="9" width="15" style="20" customWidth="1"/>
    <col min="10" max="10" width="14.1796875" style="20" customWidth="1"/>
    <col min="11" max="11" width="14.26953125" style="20" customWidth="1"/>
    <col min="12" max="12" width="17" style="20" customWidth="1"/>
    <col min="13" max="16384" width="9.1796875" style="7"/>
  </cols>
  <sheetData>
    <row r="1" spans="1:13" ht="30" customHeight="1" x14ac:dyDescent="0.35">
      <c r="A1" s="12" t="s">
        <v>181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3" ht="30" customHeight="1" x14ac:dyDescent="0.35">
      <c r="A2" s="53" t="s">
        <v>85</v>
      </c>
      <c r="B2" s="54" t="s">
        <v>24</v>
      </c>
      <c r="C2" s="54" t="s">
        <v>81</v>
      </c>
      <c r="D2" s="54" t="s">
        <v>82</v>
      </c>
      <c r="E2" s="55" t="s">
        <v>1</v>
      </c>
      <c r="F2" s="55" t="s">
        <v>15</v>
      </c>
      <c r="G2" s="56" t="s">
        <v>27</v>
      </c>
      <c r="H2" s="38" t="s">
        <v>26</v>
      </c>
      <c r="I2" s="47" t="s">
        <v>18</v>
      </c>
      <c r="J2" s="47" t="s">
        <v>17</v>
      </c>
      <c r="K2" s="47" t="s">
        <v>19</v>
      </c>
      <c r="L2" s="47" t="s">
        <v>28</v>
      </c>
    </row>
    <row r="3" spans="1:13" s="58" customFormat="1" ht="25.15" customHeight="1" x14ac:dyDescent="0.35">
      <c r="A3" s="57"/>
      <c r="B3" s="42"/>
      <c r="C3" s="42"/>
      <c r="D3" s="42"/>
      <c r="E3" s="42"/>
      <c r="F3" s="42"/>
      <c r="G3" s="14" t="s">
        <v>75</v>
      </c>
      <c r="H3" s="7"/>
      <c r="I3" s="7"/>
      <c r="J3" s="7"/>
      <c r="K3" s="7"/>
      <c r="L3" s="7"/>
    </row>
    <row r="4" spans="1:13" s="5" customFormat="1" ht="15.65" customHeight="1" x14ac:dyDescent="0.35">
      <c r="A4" s="5" t="s">
        <v>7</v>
      </c>
      <c r="B4" s="42">
        <v>100554</v>
      </c>
      <c r="C4" s="43" t="s">
        <v>108</v>
      </c>
      <c r="D4" s="43" t="s">
        <v>56</v>
      </c>
      <c r="E4" s="44">
        <v>43294</v>
      </c>
      <c r="F4" s="44">
        <v>43676</v>
      </c>
      <c r="G4" s="5" t="s">
        <v>119</v>
      </c>
      <c r="H4" s="5" t="s">
        <v>109</v>
      </c>
      <c r="I4" s="45">
        <v>10.5</v>
      </c>
      <c r="J4" s="45">
        <v>10.5</v>
      </c>
      <c r="K4" s="45">
        <v>0</v>
      </c>
      <c r="L4" s="46">
        <v>0</v>
      </c>
      <c r="M4" s="23"/>
    </row>
    <row r="5" spans="1:13" s="5" customFormat="1" ht="15.65" customHeight="1" x14ac:dyDescent="0.35">
      <c r="A5" s="5" t="s">
        <v>7</v>
      </c>
      <c r="B5" s="42">
        <v>100554</v>
      </c>
      <c r="C5" s="43" t="s">
        <v>123</v>
      </c>
      <c r="D5" s="43" t="s">
        <v>56</v>
      </c>
      <c r="E5" s="44">
        <v>43389</v>
      </c>
      <c r="F5" s="44">
        <v>44012</v>
      </c>
      <c r="G5" s="5" t="s">
        <v>119</v>
      </c>
      <c r="H5" s="5" t="s">
        <v>124</v>
      </c>
      <c r="I5" s="45">
        <v>38.81</v>
      </c>
      <c r="J5" s="45">
        <v>38.81</v>
      </c>
      <c r="K5" s="45">
        <v>0</v>
      </c>
      <c r="L5" s="46">
        <v>0</v>
      </c>
      <c r="M5" s="23"/>
    </row>
    <row r="6" spans="1:13" s="5" customFormat="1" ht="15.65" customHeight="1" x14ac:dyDescent="0.35">
      <c r="A6" s="5" t="s">
        <v>7</v>
      </c>
      <c r="B6" s="42">
        <v>100554</v>
      </c>
      <c r="C6" s="43" t="s">
        <v>139</v>
      </c>
      <c r="D6" s="43" t="s">
        <v>56</v>
      </c>
      <c r="E6" s="44">
        <v>43634</v>
      </c>
      <c r="F6" s="44">
        <v>44001</v>
      </c>
      <c r="G6" s="5" t="s">
        <v>119</v>
      </c>
      <c r="H6" s="5" t="s">
        <v>134</v>
      </c>
      <c r="I6" s="45">
        <v>46.63</v>
      </c>
      <c r="J6" s="45">
        <v>46.63</v>
      </c>
      <c r="K6" s="45">
        <v>0</v>
      </c>
      <c r="L6" s="46">
        <v>0</v>
      </c>
      <c r="M6" s="23"/>
    </row>
    <row r="7" spans="1:13" s="5" customFormat="1" ht="15.65" customHeight="1" x14ac:dyDescent="0.35">
      <c r="A7" s="5" t="s">
        <v>7</v>
      </c>
      <c r="B7" s="42">
        <v>100554</v>
      </c>
      <c r="C7" s="43" t="s">
        <v>140</v>
      </c>
      <c r="D7" s="43" t="s">
        <v>56</v>
      </c>
      <c r="E7" s="44">
        <v>43634</v>
      </c>
      <c r="F7" s="44">
        <v>44001</v>
      </c>
      <c r="G7" s="5" t="s">
        <v>119</v>
      </c>
      <c r="H7" s="5" t="s">
        <v>133</v>
      </c>
      <c r="I7" s="45">
        <v>26.1</v>
      </c>
      <c r="J7" s="45">
        <v>26.1</v>
      </c>
      <c r="K7" s="45">
        <v>0</v>
      </c>
      <c r="L7" s="46">
        <v>0</v>
      </c>
      <c r="M7" s="23"/>
    </row>
    <row r="8" spans="1:13" s="5" customFormat="1" ht="15.65" customHeight="1" x14ac:dyDescent="0.35">
      <c r="A8" s="5" t="s">
        <v>7</v>
      </c>
      <c r="B8" s="42">
        <v>100554</v>
      </c>
      <c r="C8" s="43" t="s">
        <v>141</v>
      </c>
      <c r="D8" s="43" t="s">
        <v>56</v>
      </c>
      <c r="E8" s="44">
        <v>43634</v>
      </c>
      <c r="F8" s="44">
        <v>44001</v>
      </c>
      <c r="G8" s="5" t="s">
        <v>119</v>
      </c>
      <c r="H8" s="5" t="s">
        <v>132</v>
      </c>
      <c r="I8" s="45">
        <v>22.93</v>
      </c>
      <c r="J8" s="45">
        <v>22.93</v>
      </c>
      <c r="K8" s="45">
        <v>0</v>
      </c>
      <c r="L8" s="46">
        <v>0</v>
      </c>
      <c r="M8" s="23"/>
    </row>
    <row r="9" spans="1:13" s="5" customFormat="1" ht="15" customHeight="1" x14ac:dyDescent="0.35">
      <c r="A9" s="5" t="str">
        <f>LOOKUP(B9,B$63:C$75)</f>
        <v>Wrangell</v>
      </c>
      <c r="B9" s="42">
        <v>100522</v>
      </c>
      <c r="C9" s="43" t="s">
        <v>34</v>
      </c>
      <c r="D9" s="42">
        <v>13</v>
      </c>
      <c r="E9" s="44">
        <v>40799</v>
      </c>
      <c r="F9" s="44">
        <v>44339</v>
      </c>
      <c r="G9" s="5" t="s">
        <v>4</v>
      </c>
      <c r="H9" s="81" t="s">
        <v>32</v>
      </c>
      <c r="I9" s="45">
        <v>27587.21</v>
      </c>
      <c r="J9" s="45">
        <v>27572.35</v>
      </c>
      <c r="K9" s="45">
        <f>I9-J9</f>
        <v>14.860000000000582</v>
      </c>
      <c r="L9" s="46">
        <v>701.02</v>
      </c>
      <c r="M9" s="23"/>
    </row>
    <row r="10" spans="1:13" s="5" customFormat="1" ht="15" customHeight="1" x14ac:dyDescent="0.35">
      <c r="A10" s="5" t="s">
        <v>12</v>
      </c>
      <c r="B10" s="42">
        <v>100521</v>
      </c>
      <c r="C10" s="43" t="s">
        <v>147</v>
      </c>
      <c r="D10" s="42" t="s">
        <v>56</v>
      </c>
      <c r="E10" s="44">
        <v>43648</v>
      </c>
      <c r="F10" s="44">
        <v>44012</v>
      </c>
      <c r="G10" s="23" t="s">
        <v>146</v>
      </c>
      <c r="H10" s="23" t="s">
        <v>148</v>
      </c>
      <c r="I10" s="45">
        <v>27.75</v>
      </c>
      <c r="J10" s="45">
        <v>27.75</v>
      </c>
      <c r="K10" s="45">
        <f>I10-J10</f>
        <v>0</v>
      </c>
      <c r="L10" s="46">
        <v>0</v>
      </c>
      <c r="M10" s="23"/>
    </row>
    <row r="11" spans="1:13" s="5" customFormat="1" ht="15" customHeight="1" x14ac:dyDescent="0.35">
      <c r="A11" s="5" t="s">
        <v>12</v>
      </c>
      <c r="B11" s="42">
        <v>100521</v>
      </c>
      <c r="C11" s="43" t="s">
        <v>177</v>
      </c>
      <c r="D11" s="42" t="s">
        <v>56</v>
      </c>
      <c r="E11" s="44">
        <v>44061</v>
      </c>
      <c r="F11" s="44">
        <v>44428</v>
      </c>
      <c r="G11" s="23" t="s">
        <v>146</v>
      </c>
      <c r="H11" s="23" t="s">
        <v>178</v>
      </c>
      <c r="I11" s="45">
        <v>12.29</v>
      </c>
      <c r="J11" s="45">
        <v>0</v>
      </c>
      <c r="K11" s="45">
        <f>I11-J11</f>
        <v>12.29</v>
      </c>
      <c r="L11" s="46">
        <v>1274.19</v>
      </c>
      <c r="M11" s="23"/>
    </row>
    <row r="12" spans="1:13" s="5" customFormat="1" ht="15.65" customHeight="1" x14ac:dyDescent="0.35">
      <c r="A12" s="5" t="s">
        <v>7</v>
      </c>
      <c r="B12" s="42">
        <v>100554</v>
      </c>
      <c r="C12" s="43" t="s">
        <v>117</v>
      </c>
      <c r="D12" s="43" t="s">
        <v>46</v>
      </c>
      <c r="E12" s="44">
        <v>43306</v>
      </c>
      <c r="F12" s="44">
        <v>44135</v>
      </c>
      <c r="G12" s="5" t="s">
        <v>118</v>
      </c>
      <c r="H12" s="5" t="s">
        <v>116</v>
      </c>
      <c r="I12" s="45">
        <v>151.59</v>
      </c>
      <c r="J12" s="45">
        <v>88.09</v>
      </c>
      <c r="K12" s="45">
        <f>I12-J12</f>
        <v>63.5</v>
      </c>
      <c r="L12" s="46">
        <v>10190.549999999999</v>
      </c>
      <c r="M12" s="23"/>
    </row>
    <row r="13" spans="1:13" s="5" customFormat="1" ht="15" customHeight="1" x14ac:dyDescent="0.35">
      <c r="A13" s="5" t="str">
        <f>LOOKUP(B13,B$63:C$75)</f>
        <v>Juneau</v>
      </c>
      <c r="B13" s="42">
        <v>100533</v>
      </c>
      <c r="C13" s="43" t="s">
        <v>41</v>
      </c>
      <c r="D13" s="42" t="s">
        <v>46</v>
      </c>
      <c r="E13" s="44">
        <v>41948</v>
      </c>
      <c r="F13" s="44">
        <v>44135</v>
      </c>
      <c r="G13" s="35" t="s">
        <v>29</v>
      </c>
      <c r="H13" s="36" t="s">
        <v>40</v>
      </c>
      <c r="I13" s="45">
        <v>737.59</v>
      </c>
      <c r="J13" s="45">
        <v>28</v>
      </c>
      <c r="K13" s="45">
        <v>709.59</v>
      </c>
      <c r="L13" s="46">
        <v>10766.84</v>
      </c>
      <c r="M13" s="23"/>
    </row>
    <row r="14" spans="1:13" s="5" customFormat="1" ht="15" customHeight="1" x14ac:dyDescent="0.35">
      <c r="A14" s="5" t="str">
        <f>LOOKUP(B14,B$63:C$75)</f>
        <v>Juneau</v>
      </c>
      <c r="B14" s="42">
        <v>100533</v>
      </c>
      <c r="C14" s="43" t="s">
        <v>38</v>
      </c>
      <c r="D14" s="42" t="s">
        <v>46</v>
      </c>
      <c r="E14" s="44">
        <v>41786</v>
      </c>
      <c r="F14" s="44">
        <v>44500</v>
      </c>
      <c r="G14" s="35" t="s">
        <v>29</v>
      </c>
      <c r="H14" s="36" t="s">
        <v>51</v>
      </c>
      <c r="I14" s="45">
        <v>158.33000000000001</v>
      </c>
      <c r="J14" s="45">
        <v>141.44999999999999</v>
      </c>
      <c r="K14" s="45">
        <v>16.88</v>
      </c>
      <c r="L14" s="46">
        <v>138.22</v>
      </c>
      <c r="M14" s="23"/>
    </row>
    <row r="15" spans="1:13" s="5" customFormat="1" ht="15" customHeight="1" x14ac:dyDescent="0.35">
      <c r="A15" s="5" t="s">
        <v>8</v>
      </c>
      <c r="B15" s="42">
        <v>100532</v>
      </c>
      <c r="C15" s="43" t="s">
        <v>114</v>
      </c>
      <c r="D15" s="42" t="s">
        <v>46</v>
      </c>
      <c r="E15" s="44">
        <v>43314</v>
      </c>
      <c r="F15" s="44">
        <v>45961</v>
      </c>
      <c r="G15" s="5" t="s">
        <v>5</v>
      </c>
      <c r="H15" s="5" t="s">
        <v>110</v>
      </c>
      <c r="I15" s="45">
        <v>174.18</v>
      </c>
      <c r="J15" s="45">
        <v>134</v>
      </c>
      <c r="K15" s="45">
        <f>I15-J15</f>
        <v>40.180000000000007</v>
      </c>
      <c r="L15" s="46">
        <v>3283.82</v>
      </c>
      <c r="M15" s="23"/>
    </row>
    <row r="16" spans="1:13" s="5" customFormat="1" ht="15" customHeight="1" x14ac:dyDescent="0.35">
      <c r="A16" s="5" t="s">
        <v>8</v>
      </c>
      <c r="B16" s="42">
        <v>100532</v>
      </c>
      <c r="C16" s="43" t="s">
        <v>115</v>
      </c>
      <c r="D16" s="42" t="s">
        <v>46</v>
      </c>
      <c r="E16" s="44">
        <v>43314</v>
      </c>
      <c r="F16" s="44">
        <v>46326</v>
      </c>
      <c r="G16" s="5" t="s">
        <v>5</v>
      </c>
      <c r="H16" s="5" t="s">
        <v>111</v>
      </c>
      <c r="I16" s="45">
        <v>252.18</v>
      </c>
      <c r="J16" s="45">
        <v>0</v>
      </c>
      <c r="K16" s="45">
        <v>252.18</v>
      </c>
      <c r="L16" s="46">
        <v>13203.78</v>
      </c>
      <c r="M16" s="23"/>
    </row>
    <row r="17" spans="1:13" s="5" customFormat="1" ht="15" customHeight="1" x14ac:dyDescent="0.35">
      <c r="A17" s="5" t="s">
        <v>8</v>
      </c>
      <c r="B17" s="42">
        <v>100532</v>
      </c>
      <c r="C17" s="43" t="s">
        <v>168</v>
      </c>
      <c r="D17" s="42" t="s">
        <v>46</v>
      </c>
      <c r="E17" s="44">
        <v>43993</v>
      </c>
      <c r="F17" s="44">
        <v>45961</v>
      </c>
      <c r="G17" s="5" t="s">
        <v>5</v>
      </c>
      <c r="H17" s="5" t="s">
        <v>169</v>
      </c>
      <c r="I17" s="45">
        <v>150.49</v>
      </c>
      <c r="J17" s="45">
        <v>0</v>
      </c>
      <c r="K17" s="45">
        <f>I17-J17</f>
        <v>150.49</v>
      </c>
      <c r="L17" s="46">
        <v>4025.71</v>
      </c>
      <c r="M17" s="23"/>
    </row>
    <row r="18" spans="1:13" s="5" customFormat="1" ht="15" customHeight="1" x14ac:dyDescent="0.35">
      <c r="A18" s="5" t="s">
        <v>8</v>
      </c>
      <c r="B18" s="42">
        <v>100532</v>
      </c>
      <c r="C18" s="43" t="s">
        <v>170</v>
      </c>
      <c r="D18" s="42" t="s">
        <v>46</v>
      </c>
      <c r="E18" s="44">
        <v>43993</v>
      </c>
      <c r="F18" s="44">
        <v>45961</v>
      </c>
      <c r="G18" s="5" t="s">
        <v>5</v>
      </c>
      <c r="H18" s="5" t="s">
        <v>173</v>
      </c>
      <c r="I18" s="45">
        <v>99.87</v>
      </c>
      <c r="J18" s="45">
        <v>0</v>
      </c>
      <c r="K18" s="45">
        <f>I18-J18</f>
        <v>99.87</v>
      </c>
      <c r="L18" s="46">
        <v>10298.33</v>
      </c>
      <c r="M18" s="23"/>
    </row>
    <row r="19" spans="1:13" s="5" customFormat="1" ht="15.65" customHeight="1" x14ac:dyDescent="0.35">
      <c r="A19" s="5" t="s">
        <v>7</v>
      </c>
      <c r="B19" s="42">
        <v>100554</v>
      </c>
      <c r="C19" s="43" t="s">
        <v>142</v>
      </c>
      <c r="D19" s="43" t="s">
        <v>46</v>
      </c>
      <c r="E19" s="44">
        <v>43634</v>
      </c>
      <c r="F19" s="44">
        <v>45961</v>
      </c>
      <c r="G19" s="5" t="s">
        <v>135</v>
      </c>
      <c r="H19" s="5" t="s">
        <v>136</v>
      </c>
      <c r="I19" s="45">
        <v>156</v>
      </c>
      <c r="J19" s="45">
        <v>0</v>
      </c>
      <c r="K19" s="45">
        <v>156</v>
      </c>
      <c r="L19" s="46">
        <v>31251.96</v>
      </c>
      <c r="M19" s="23"/>
    </row>
    <row r="20" spans="1:13" s="5" customFormat="1" ht="15.65" customHeight="1" x14ac:dyDescent="0.35">
      <c r="A20" s="5" t="s">
        <v>12</v>
      </c>
      <c r="B20" s="42">
        <v>100521</v>
      </c>
      <c r="C20" s="43" t="s">
        <v>150</v>
      </c>
      <c r="D20" s="43" t="s">
        <v>56</v>
      </c>
      <c r="E20" s="44">
        <v>43774</v>
      </c>
      <c r="F20" s="44">
        <v>44140</v>
      </c>
      <c r="G20" s="5" t="s">
        <v>33</v>
      </c>
      <c r="H20" s="5" t="s">
        <v>151</v>
      </c>
      <c r="I20" s="45">
        <v>4.9000000000000004</v>
      </c>
      <c r="J20" s="45">
        <v>0</v>
      </c>
      <c r="K20" s="45">
        <v>4.9000000000000004</v>
      </c>
      <c r="L20" s="46">
        <v>265.24</v>
      </c>
      <c r="M20" s="23"/>
    </row>
    <row r="21" spans="1:13" s="5" customFormat="1" ht="15.65" customHeight="1" x14ac:dyDescent="0.35">
      <c r="A21" s="5" t="s">
        <v>12</v>
      </c>
      <c r="B21" s="42">
        <v>100521</v>
      </c>
      <c r="C21" s="43" t="s">
        <v>182</v>
      </c>
      <c r="D21" s="43" t="s">
        <v>183</v>
      </c>
      <c r="E21" s="44">
        <v>44089</v>
      </c>
      <c r="F21" s="44">
        <v>44454</v>
      </c>
      <c r="G21" s="5" t="s">
        <v>33</v>
      </c>
      <c r="H21" s="5" t="s">
        <v>184</v>
      </c>
      <c r="I21" s="45">
        <v>11.98</v>
      </c>
      <c r="J21" s="45">
        <v>0</v>
      </c>
      <c r="K21" s="45">
        <v>11.98</v>
      </c>
      <c r="L21" s="46">
        <v>233.9</v>
      </c>
      <c r="M21" s="23"/>
    </row>
    <row r="22" spans="1:13" s="5" customFormat="1" ht="15.65" customHeight="1" x14ac:dyDescent="0.35">
      <c r="A22" s="5" t="s">
        <v>7</v>
      </c>
      <c r="B22" s="42">
        <v>100554</v>
      </c>
      <c r="C22" s="43" t="s">
        <v>106</v>
      </c>
      <c r="D22" s="43">
        <v>6</v>
      </c>
      <c r="E22" s="44">
        <v>43276</v>
      </c>
      <c r="F22" s="44">
        <v>45230</v>
      </c>
      <c r="G22" s="5" t="s">
        <v>122</v>
      </c>
      <c r="H22" s="5" t="s">
        <v>107</v>
      </c>
      <c r="I22" s="45">
        <v>528</v>
      </c>
      <c r="J22" s="45">
        <v>0</v>
      </c>
      <c r="K22" s="45">
        <v>528</v>
      </c>
      <c r="L22" s="46">
        <v>4859.92</v>
      </c>
      <c r="M22" s="23"/>
    </row>
    <row r="23" spans="1:13" s="5" customFormat="1" ht="15.65" customHeight="1" x14ac:dyDescent="0.35">
      <c r="A23" s="5" t="s">
        <v>7</v>
      </c>
      <c r="B23" s="42">
        <v>100554</v>
      </c>
      <c r="C23" s="43" t="s">
        <v>143</v>
      </c>
      <c r="D23" s="43" t="s">
        <v>46</v>
      </c>
      <c r="E23" s="44">
        <v>43641</v>
      </c>
      <c r="F23" s="44">
        <v>44865</v>
      </c>
      <c r="G23" s="5" t="s">
        <v>122</v>
      </c>
      <c r="H23" s="5" t="s">
        <v>144</v>
      </c>
      <c r="I23" s="45">
        <v>25.41</v>
      </c>
      <c r="J23" s="45">
        <v>0</v>
      </c>
      <c r="K23" s="45">
        <v>25.41</v>
      </c>
      <c r="L23" s="46">
        <v>5108.93</v>
      </c>
      <c r="M23" s="23"/>
    </row>
    <row r="24" spans="1:13" s="5" customFormat="1" ht="15.65" customHeight="1" x14ac:dyDescent="0.35">
      <c r="A24" s="5" t="s">
        <v>7</v>
      </c>
      <c r="B24" s="42">
        <v>100554</v>
      </c>
      <c r="C24" s="43" t="s">
        <v>160</v>
      </c>
      <c r="D24" s="43" t="s">
        <v>56</v>
      </c>
      <c r="E24" s="44" t="s">
        <v>161</v>
      </c>
      <c r="F24" s="44">
        <v>43982</v>
      </c>
      <c r="G24" s="5" t="s">
        <v>122</v>
      </c>
      <c r="H24" s="5" t="s">
        <v>162</v>
      </c>
      <c r="I24" s="45">
        <v>5.46</v>
      </c>
      <c r="J24" s="45">
        <v>5.46</v>
      </c>
      <c r="K24" s="45">
        <v>0</v>
      </c>
      <c r="L24" s="46">
        <v>0</v>
      </c>
      <c r="M24" s="23"/>
    </row>
    <row r="25" spans="1:13" s="5" customFormat="1" ht="15" customHeight="1" x14ac:dyDescent="0.35">
      <c r="A25" s="5" t="str">
        <f>LOOKUP(B25,B$63:C$75)</f>
        <v>Thorne Bay</v>
      </c>
      <c r="B25" s="42">
        <v>100554</v>
      </c>
      <c r="C25" s="43" t="s">
        <v>49</v>
      </c>
      <c r="D25" s="42">
        <v>6</v>
      </c>
      <c r="E25" s="44">
        <v>42185</v>
      </c>
      <c r="F25" s="44">
        <v>45115</v>
      </c>
      <c r="G25" s="34" t="s">
        <v>47</v>
      </c>
      <c r="H25" s="34" t="s">
        <v>48</v>
      </c>
      <c r="I25" s="45">
        <v>533.91</v>
      </c>
      <c r="J25" s="45">
        <v>487.58</v>
      </c>
      <c r="K25" s="45">
        <f t="shared" ref="K25:K34" si="0">I25-J25</f>
        <v>46.329999999999984</v>
      </c>
      <c r="L25" s="46">
        <v>643.22</v>
      </c>
      <c r="M25" s="23"/>
    </row>
    <row r="26" spans="1:13" s="5" customFormat="1" ht="15" customHeight="1" x14ac:dyDescent="0.35">
      <c r="A26" s="5" t="str">
        <f>LOOKUP(B26,B$63:C$75)</f>
        <v>Thorne Bay</v>
      </c>
      <c r="B26" s="42">
        <v>100554</v>
      </c>
      <c r="C26" s="43" t="s">
        <v>129</v>
      </c>
      <c r="D26" s="42" t="s">
        <v>46</v>
      </c>
      <c r="E26" s="44">
        <v>43620</v>
      </c>
      <c r="F26" s="44">
        <v>45961</v>
      </c>
      <c r="G26" s="34" t="s">
        <v>47</v>
      </c>
      <c r="H26" s="34" t="s">
        <v>130</v>
      </c>
      <c r="I26" s="45">
        <v>332</v>
      </c>
      <c r="J26" s="45">
        <v>0</v>
      </c>
      <c r="K26" s="45">
        <f t="shared" si="0"/>
        <v>332</v>
      </c>
      <c r="L26" s="46">
        <v>37109.599999999999</v>
      </c>
      <c r="M26" s="23"/>
    </row>
    <row r="27" spans="1:13" s="5" customFormat="1" ht="15" customHeight="1" x14ac:dyDescent="0.35">
      <c r="A27" s="5" t="str">
        <f>LOOKUP(B27,B$63:C$75)</f>
        <v>Thorne Bay</v>
      </c>
      <c r="B27" s="42">
        <v>100554</v>
      </c>
      <c r="C27" s="43" t="s">
        <v>138</v>
      </c>
      <c r="D27" s="42" t="s">
        <v>46</v>
      </c>
      <c r="E27" s="44">
        <v>43636</v>
      </c>
      <c r="F27" s="44">
        <v>45961</v>
      </c>
      <c r="G27" s="34" t="s">
        <v>47</v>
      </c>
      <c r="H27" s="34" t="s">
        <v>137</v>
      </c>
      <c r="I27" s="45">
        <v>34</v>
      </c>
      <c r="J27" s="45">
        <v>0</v>
      </c>
      <c r="K27" s="45">
        <f t="shared" si="0"/>
        <v>34</v>
      </c>
      <c r="L27" s="46">
        <v>6575.16</v>
      </c>
      <c r="M27" s="23"/>
    </row>
    <row r="28" spans="1:13" s="5" customFormat="1" ht="15" customHeight="1" x14ac:dyDescent="0.35">
      <c r="A28" s="5" t="s">
        <v>12</v>
      </c>
      <c r="B28" s="42">
        <v>100521</v>
      </c>
      <c r="C28" s="43" t="s">
        <v>165</v>
      </c>
      <c r="D28" s="42">
        <v>4</v>
      </c>
      <c r="E28" s="44">
        <v>43977</v>
      </c>
      <c r="F28" s="44">
        <v>44372</v>
      </c>
      <c r="G28" s="5" t="s">
        <v>166</v>
      </c>
      <c r="H28" s="5" t="s">
        <v>167</v>
      </c>
      <c r="I28" s="45">
        <v>2.62</v>
      </c>
      <c r="J28" s="45">
        <v>2.62</v>
      </c>
      <c r="K28" s="45">
        <f t="shared" ref="K28" si="1">I28-J28</f>
        <v>0</v>
      </c>
      <c r="L28" s="46">
        <v>0</v>
      </c>
      <c r="M28" s="23"/>
    </row>
    <row r="29" spans="1:13" s="5" customFormat="1" ht="15" customHeight="1" x14ac:dyDescent="0.35">
      <c r="A29" s="5" t="s">
        <v>12</v>
      </c>
      <c r="B29" s="42">
        <v>100521</v>
      </c>
      <c r="C29" s="43" t="s">
        <v>145</v>
      </c>
      <c r="D29" s="42" t="s">
        <v>56</v>
      </c>
      <c r="E29" s="44">
        <v>43627</v>
      </c>
      <c r="F29" s="44">
        <v>44135</v>
      </c>
      <c r="G29" s="5" t="s">
        <v>78</v>
      </c>
      <c r="H29" s="5" t="s">
        <v>131</v>
      </c>
      <c r="I29" s="45">
        <v>51.74</v>
      </c>
      <c r="J29" s="45">
        <v>0</v>
      </c>
      <c r="K29" s="45">
        <f t="shared" si="0"/>
        <v>51.74</v>
      </c>
      <c r="L29" s="46">
        <v>1501.04</v>
      </c>
      <c r="M29" s="23"/>
    </row>
    <row r="30" spans="1:13" s="5" customFormat="1" ht="15" customHeight="1" x14ac:dyDescent="0.35">
      <c r="A30" s="5" t="str">
        <f>LOOKUP(B30,B$63:C$75)</f>
        <v>Wrangell</v>
      </c>
      <c r="B30" s="42">
        <v>100522</v>
      </c>
      <c r="C30" s="43" t="s">
        <v>80</v>
      </c>
      <c r="D30" s="42">
        <v>6</v>
      </c>
      <c r="E30" s="44">
        <v>42640</v>
      </c>
      <c r="F30" s="44">
        <v>45961</v>
      </c>
      <c r="G30" s="5" t="s">
        <v>44</v>
      </c>
      <c r="H30" s="23" t="s">
        <v>79</v>
      </c>
      <c r="I30" s="45">
        <v>9802.6299999999992</v>
      </c>
      <c r="J30" s="45">
        <v>4607.01</v>
      </c>
      <c r="K30" s="45">
        <f t="shared" si="0"/>
        <v>5195.619999999999</v>
      </c>
      <c r="L30" s="46">
        <v>30909.97</v>
      </c>
      <c r="M30" s="23"/>
    </row>
    <row r="31" spans="1:13" s="5" customFormat="1" ht="15" customHeight="1" x14ac:dyDescent="0.35">
      <c r="A31" s="5" t="s">
        <v>12</v>
      </c>
      <c r="B31" s="42">
        <v>100521</v>
      </c>
      <c r="C31" s="43" t="s">
        <v>174</v>
      </c>
      <c r="D31" s="42">
        <v>4</v>
      </c>
      <c r="E31" s="44">
        <v>44026</v>
      </c>
      <c r="F31" s="44">
        <v>44392</v>
      </c>
      <c r="G31" s="5" t="s">
        <v>175</v>
      </c>
      <c r="H31" s="23" t="s">
        <v>176</v>
      </c>
      <c r="I31" s="45">
        <v>10.23</v>
      </c>
      <c r="J31" s="45">
        <v>0</v>
      </c>
      <c r="K31" s="45">
        <f t="shared" si="0"/>
        <v>10.23</v>
      </c>
      <c r="L31" s="46">
        <v>1157.32</v>
      </c>
      <c r="M31" s="23"/>
    </row>
    <row r="32" spans="1:13" s="5" customFormat="1" ht="15" customHeight="1" x14ac:dyDescent="0.35">
      <c r="A32" s="5" t="str">
        <f>LOOKUP(B32,B$63:C$75)</f>
        <v>Thorne Bay</v>
      </c>
      <c r="B32" s="42">
        <v>100554</v>
      </c>
      <c r="C32" s="43" t="s">
        <v>43</v>
      </c>
      <c r="D32" s="42">
        <v>6</v>
      </c>
      <c r="E32" s="44">
        <v>41947</v>
      </c>
      <c r="F32" s="44">
        <v>44165</v>
      </c>
      <c r="G32" s="30" t="s">
        <v>36</v>
      </c>
      <c r="H32" s="30" t="s">
        <v>42</v>
      </c>
      <c r="I32" s="45">
        <v>1834.02</v>
      </c>
      <c r="J32" s="45">
        <v>1676.74</v>
      </c>
      <c r="K32" s="45">
        <f t="shared" si="0"/>
        <v>157.27999999999997</v>
      </c>
      <c r="L32" s="46">
        <v>101426.8</v>
      </c>
      <c r="M32" s="23"/>
    </row>
    <row r="33" spans="1:13" s="5" customFormat="1" ht="15" customHeight="1" x14ac:dyDescent="0.35">
      <c r="A33" s="5" t="str">
        <f>LOOKUP(B33,B$63:C$75)</f>
        <v>Thorne Bay</v>
      </c>
      <c r="B33" s="42">
        <v>100554</v>
      </c>
      <c r="C33" s="43" t="s">
        <v>95</v>
      </c>
      <c r="D33" s="42" t="s">
        <v>46</v>
      </c>
      <c r="E33" s="44">
        <v>42927</v>
      </c>
      <c r="F33" s="44">
        <v>44865</v>
      </c>
      <c r="G33" s="30" t="s">
        <v>36</v>
      </c>
      <c r="H33" s="30" t="s">
        <v>94</v>
      </c>
      <c r="I33" s="45">
        <v>479.23</v>
      </c>
      <c r="J33" s="45">
        <v>479.23</v>
      </c>
      <c r="K33" s="45">
        <f t="shared" si="0"/>
        <v>0</v>
      </c>
      <c r="L33" s="46">
        <v>0</v>
      </c>
      <c r="M33" s="23"/>
    </row>
    <row r="34" spans="1:13" s="5" customFormat="1" ht="15" customHeight="1" x14ac:dyDescent="0.35">
      <c r="A34" s="5" t="str">
        <f>LOOKUP(B34,B$63:C$75)</f>
        <v>Thorne Bay</v>
      </c>
      <c r="B34" s="42">
        <v>100554</v>
      </c>
      <c r="C34" s="43" t="s">
        <v>99</v>
      </c>
      <c r="D34" s="42">
        <v>4</v>
      </c>
      <c r="E34" s="44">
        <v>42990</v>
      </c>
      <c r="F34" s="44">
        <v>45291</v>
      </c>
      <c r="G34" s="31" t="s">
        <v>97</v>
      </c>
      <c r="H34" s="32" t="s">
        <v>98</v>
      </c>
      <c r="I34" s="45">
        <v>30561.11</v>
      </c>
      <c r="J34" s="45">
        <v>755.85</v>
      </c>
      <c r="K34" s="45">
        <f t="shared" si="0"/>
        <v>29805.260000000002</v>
      </c>
      <c r="L34" s="46">
        <v>0</v>
      </c>
      <c r="M34" s="23"/>
    </row>
    <row r="35" spans="1:13" s="5" customFormat="1" ht="15" customHeight="1" x14ac:dyDescent="0.35">
      <c r="A35" s="5" t="s">
        <v>10</v>
      </c>
      <c r="B35" s="42">
        <v>100552</v>
      </c>
      <c r="C35" s="43" t="s">
        <v>127</v>
      </c>
      <c r="D35" s="42">
        <v>4</v>
      </c>
      <c r="E35" s="44">
        <v>43529</v>
      </c>
      <c r="F35" s="44">
        <v>44915</v>
      </c>
      <c r="G35" s="31" t="s">
        <v>97</v>
      </c>
      <c r="H35" s="32" t="s">
        <v>128</v>
      </c>
      <c r="I35" s="45">
        <v>2729.9</v>
      </c>
      <c r="J35" s="45">
        <v>0</v>
      </c>
      <c r="K35" s="45">
        <v>2729.9</v>
      </c>
      <c r="L35" s="46">
        <v>0</v>
      </c>
      <c r="M35" s="23"/>
    </row>
    <row r="36" spans="1:13" s="5" customFormat="1" ht="15" customHeight="1" x14ac:dyDescent="0.35">
      <c r="A36" s="5" t="s">
        <v>22</v>
      </c>
      <c r="B36" s="42">
        <v>100531</v>
      </c>
      <c r="C36" s="43" t="s">
        <v>101</v>
      </c>
      <c r="D36" s="42" t="s">
        <v>46</v>
      </c>
      <c r="E36" s="44">
        <v>43200</v>
      </c>
      <c r="F36" s="44">
        <v>44865</v>
      </c>
      <c r="G36" s="31" t="s">
        <v>102</v>
      </c>
      <c r="H36" s="32" t="s">
        <v>103</v>
      </c>
      <c r="I36" s="45">
        <v>83.47</v>
      </c>
      <c r="J36" s="45">
        <v>0</v>
      </c>
      <c r="K36" s="45">
        <v>83.47</v>
      </c>
      <c r="L36" s="46">
        <v>4386.57</v>
      </c>
      <c r="M36" s="23"/>
    </row>
    <row r="37" spans="1:13" s="5" customFormat="1" ht="15.65" customHeight="1" x14ac:dyDescent="0.35">
      <c r="A37" s="5" t="s">
        <v>7</v>
      </c>
      <c r="B37" s="42">
        <v>100554</v>
      </c>
      <c r="C37" s="43" t="s">
        <v>120</v>
      </c>
      <c r="D37" s="44" t="s">
        <v>121</v>
      </c>
      <c r="E37" s="44">
        <v>43314</v>
      </c>
      <c r="F37" s="44">
        <v>44196</v>
      </c>
      <c r="G37" s="5" t="s">
        <v>112</v>
      </c>
      <c r="H37" s="5" t="s">
        <v>113</v>
      </c>
      <c r="I37" s="45">
        <v>44.47</v>
      </c>
      <c r="J37" s="45">
        <v>0</v>
      </c>
      <c r="K37" s="45">
        <v>44.47</v>
      </c>
      <c r="L37" s="46">
        <v>1810.68</v>
      </c>
      <c r="M37" s="23"/>
    </row>
    <row r="38" spans="1:13" s="5" customFormat="1" ht="15" customHeight="1" x14ac:dyDescent="0.35">
      <c r="A38" s="5" t="str">
        <f>LOOKUP(B38,B$63:C$75)</f>
        <v>Sitka</v>
      </c>
      <c r="B38" s="42">
        <v>100531</v>
      </c>
      <c r="C38" s="43" t="s">
        <v>54</v>
      </c>
      <c r="D38" s="42" t="s">
        <v>46</v>
      </c>
      <c r="E38" s="44">
        <v>42283</v>
      </c>
      <c r="F38" s="44">
        <v>45230</v>
      </c>
      <c r="G38" s="31" t="s">
        <v>52</v>
      </c>
      <c r="H38" s="32" t="s">
        <v>53</v>
      </c>
      <c r="I38" s="45">
        <v>29.34</v>
      </c>
      <c r="J38" s="45">
        <v>11.74</v>
      </c>
      <c r="K38" s="45">
        <v>17.600000000000001</v>
      </c>
      <c r="L38" s="46">
        <v>143.80000000000001</v>
      </c>
      <c r="M38" s="23"/>
    </row>
    <row r="39" spans="1:13" s="5" customFormat="1" ht="15" customHeight="1" x14ac:dyDescent="0.35">
      <c r="A39" s="5" t="str">
        <f>LOOKUP(B39,B$63:C$75)</f>
        <v>Sitka</v>
      </c>
      <c r="B39" s="42">
        <v>100531</v>
      </c>
      <c r="C39" s="43" t="s">
        <v>171</v>
      </c>
      <c r="D39" s="42" t="s">
        <v>46</v>
      </c>
      <c r="E39" s="44">
        <v>43986</v>
      </c>
      <c r="F39" s="44">
        <v>45961</v>
      </c>
      <c r="G39" s="31" t="s">
        <v>52</v>
      </c>
      <c r="H39" s="32" t="s">
        <v>172</v>
      </c>
      <c r="I39" s="45">
        <v>37.909999999999997</v>
      </c>
      <c r="J39" s="45">
        <v>0</v>
      </c>
      <c r="K39" s="45">
        <f>I39-J39</f>
        <v>37.909999999999997</v>
      </c>
      <c r="L39" s="46">
        <v>79.06</v>
      </c>
      <c r="M39" s="23"/>
    </row>
    <row r="40" spans="1:13" s="5" customFormat="1" ht="15" customHeight="1" x14ac:dyDescent="0.35">
      <c r="A40" s="5" t="str">
        <f>LOOKUP(B40,B$63:C$75)</f>
        <v>Sitka</v>
      </c>
      <c r="B40" s="42">
        <v>100531</v>
      </c>
      <c r="C40" s="43" t="s">
        <v>55</v>
      </c>
      <c r="D40" s="42" t="s">
        <v>46</v>
      </c>
      <c r="E40" s="44">
        <v>42283</v>
      </c>
      <c r="F40" s="44">
        <v>44135</v>
      </c>
      <c r="G40" s="33" t="s">
        <v>37</v>
      </c>
      <c r="H40" s="5" t="s">
        <v>86</v>
      </c>
      <c r="I40" s="45">
        <v>94.66</v>
      </c>
      <c r="J40" s="45">
        <v>9.58</v>
      </c>
      <c r="K40" s="45">
        <v>85.08</v>
      </c>
      <c r="L40" s="46">
        <v>2048.15</v>
      </c>
      <c r="M40" s="23"/>
    </row>
    <row r="41" spans="1:13" s="5" customFormat="1" ht="15" customHeight="1" x14ac:dyDescent="0.35">
      <c r="A41" s="5" t="str">
        <f>LOOKUP(B41,B$63:C$75)</f>
        <v>Thorne Bay</v>
      </c>
      <c r="B41" s="42">
        <v>100554</v>
      </c>
      <c r="C41" s="43" t="s">
        <v>100</v>
      </c>
      <c r="D41" s="42">
        <v>13</v>
      </c>
      <c r="E41" s="44">
        <v>41905</v>
      </c>
      <c r="F41" s="44">
        <v>45565</v>
      </c>
      <c r="G41" s="5" t="s">
        <v>16</v>
      </c>
      <c r="H41" s="5" t="s">
        <v>39</v>
      </c>
      <c r="I41" s="45">
        <v>87338.54</v>
      </c>
      <c r="J41" s="45">
        <v>80829.850000000006</v>
      </c>
      <c r="K41" s="45">
        <f>I41-J41</f>
        <v>6508.6899999999878</v>
      </c>
      <c r="L41" s="46">
        <v>826457.48</v>
      </c>
      <c r="M41" s="23"/>
    </row>
    <row r="42" spans="1:13" s="5" customFormat="1" ht="15" customHeight="1" x14ac:dyDescent="0.35">
      <c r="A42" s="5" t="str">
        <f>LOOKUP(B42,B$63:C$75)</f>
        <v>Thorne Bay</v>
      </c>
      <c r="B42" s="42">
        <v>100554</v>
      </c>
      <c r="C42" s="43" t="s">
        <v>35</v>
      </c>
      <c r="D42" s="42">
        <v>6</v>
      </c>
      <c r="E42" s="44">
        <v>40448</v>
      </c>
      <c r="F42" s="44">
        <v>42308</v>
      </c>
      <c r="G42" s="5" t="s">
        <v>16</v>
      </c>
      <c r="H42" s="5" t="s">
        <v>31</v>
      </c>
      <c r="I42" s="45">
        <v>31842.73</v>
      </c>
      <c r="J42" s="45">
        <v>31842.73</v>
      </c>
      <c r="K42" s="45">
        <v>0</v>
      </c>
      <c r="L42" s="46">
        <v>0</v>
      </c>
      <c r="M42" s="23"/>
    </row>
    <row r="43" spans="1:13" s="5" customFormat="1" ht="15" customHeight="1" x14ac:dyDescent="0.35">
      <c r="A43" s="5" t="s">
        <v>7</v>
      </c>
      <c r="B43" s="42">
        <v>100554</v>
      </c>
      <c r="C43" s="43" t="s">
        <v>104</v>
      </c>
      <c r="D43" s="42">
        <v>6</v>
      </c>
      <c r="E43" s="44">
        <v>43221</v>
      </c>
      <c r="F43" s="44">
        <v>45596</v>
      </c>
      <c r="G43" s="5" t="s">
        <v>16</v>
      </c>
      <c r="H43" s="5" t="s">
        <v>105</v>
      </c>
      <c r="I43" s="45">
        <v>7765.75</v>
      </c>
      <c r="J43" s="45">
        <v>7155.2</v>
      </c>
      <c r="K43" s="45">
        <f>I43-J43</f>
        <v>610.55000000000018</v>
      </c>
      <c r="L43" s="46">
        <v>124679.55</v>
      </c>
      <c r="M43" s="23"/>
    </row>
    <row r="44" spans="1:13" s="5" customFormat="1" ht="15" customHeight="1" x14ac:dyDescent="0.35">
      <c r="A44" s="5" t="str">
        <f>LOOKUP(B44,B$63:C$75)</f>
        <v>Thorne Bay</v>
      </c>
      <c r="B44" s="42">
        <v>100554</v>
      </c>
      <c r="C44" s="43" t="s">
        <v>156</v>
      </c>
      <c r="D44" s="42">
        <v>6</v>
      </c>
      <c r="E44" s="44">
        <v>43893</v>
      </c>
      <c r="F44" s="44">
        <v>44865</v>
      </c>
      <c r="G44" s="5" t="s">
        <v>16</v>
      </c>
      <c r="H44" s="5" t="s">
        <v>157</v>
      </c>
      <c r="I44" s="45">
        <v>713.63</v>
      </c>
      <c r="J44" s="45">
        <v>710.08</v>
      </c>
      <c r="K44" s="45">
        <v>3.55</v>
      </c>
      <c r="L44" s="46">
        <v>1413.82</v>
      </c>
      <c r="M44" s="23"/>
    </row>
    <row r="45" spans="1:13" s="5" customFormat="1" ht="15" customHeight="1" x14ac:dyDescent="0.35">
      <c r="A45" s="5" t="str">
        <f>LOOKUP(B45,B$64:C$76)</f>
        <v>Thorne Bay</v>
      </c>
      <c r="B45" s="42">
        <v>100554</v>
      </c>
      <c r="C45" s="43" t="s">
        <v>158</v>
      </c>
      <c r="D45" s="42">
        <v>6</v>
      </c>
      <c r="E45" s="44">
        <v>43398</v>
      </c>
      <c r="F45" s="44">
        <v>46691</v>
      </c>
      <c r="G45" s="5" t="s">
        <v>59</v>
      </c>
      <c r="H45" s="5" t="s">
        <v>159</v>
      </c>
      <c r="I45" s="45">
        <v>1752</v>
      </c>
      <c r="J45" s="45">
        <v>0</v>
      </c>
      <c r="K45" s="45">
        <f>I45-J45</f>
        <v>1752</v>
      </c>
      <c r="L45" s="46">
        <v>286459.49</v>
      </c>
      <c r="M45" s="23"/>
    </row>
    <row r="46" spans="1:13" s="5" customFormat="1" ht="15" customHeight="1" x14ac:dyDescent="0.35">
      <c r="A46" s="5" t="str">
        <f>LOOKUP(B46,B$64:C$76)</f>
        <v>Thorne Bay</v>
      </c>
      <c r="B46" s="42">
        <v>100554</v>
      </c>
      <c r="C46" s="43" t="s">
        <v>163</v>
      </c>
      <c r="D46" s="42">
        <v>6</v>
      </c>
      <c r="E46" s="44">
        <v>43977</v>
      </c>
      <c r="F46" s="44">
        <v>45596</v>
      </c>
      <c r="G46" s="5" t="s">
        <v>59</v>
      </c>
      <c r="H46" s="5" t="s">
        <v>164</v>
      </c>
      <c r="I46" s="45">
        <v>1837</v>
      </c>
      <c r="J46" s="45">
        <v>0</v>
      </c>
      <c r="K46" s="45">
        <f>I46-J46</f>
        <v>1837</v>
      </c>
      <c r="L46" s="46">
        <v>349994.61</v>
      </c>
      <c r="M46" s="23"/>
    </row>
    <row r="47" spans="1:13" s="5" customFormat="1" ht="15" customHeight="1" x14ac:dyDescent="0.35">
      <c r="A47" s="5" t="s">
        <v>7</v>
      </c>
      <c r="B47" s="42">
        <v>100554</v>
      </c>
      <c r="C47" s="43" t="s">
        <v>154</v>
      </c>
      <c r="D47" s="42">
        <v>4</v>
      </c>
      <c r="E47" s="44">
        <v>43900</v>
      </c>
      <c r="F47" s="44">
        <v>44267</v>
      </c>
      <c r="G47" s="5" t="s">
        <v>149</v>
      </c>
      <c r="H47" s="5" t="s">
        <v>155</v>
      </c>
      <c r="I47" s="45">
        <v>2.97</v>
      </c>
      <c r="J47" s="45">
        <v>0</v>
      </c>
      <c r="K47" s="45">
        <v>2.97</v>
      </c>
      <c r="L47" s="46">
        <v>212.57</v>
      </c>
      <c r="M47" s="23"/>
    </row>
    <row r="48" spans="1:13" s="5" customFormat="1" ht="15" customHeight="1" x14ac:dyDescent="0.35">
      <c r="A48" s="5" t="s">
        <v>7</v>
      </c>
      <c r="B48" s="42">
        <v>100554</v>
      </c>
      <c r="C48" s="43" t="s">
        <v>179</v>
      </c>
      <c r="D48" s="42">
        <v>4</v>
      </c>
      <c r="E48" s="44">
        <v>44068</v>
      </c>
      <c r="F48" s="44">
        <v>44426</v>
      </c>
      <c r="G48" s="5" t="s">
        <v>149</v>
      </c>
      <c r="H48" s="5" t="s">
        <v>180</v>
      </c>
      <c r="I48" s="45">
        <v>1.98</v>
      </c>
      <c r="J48" s="45">
        <v>0</v>
      </c>
      <c r="K48" s="45">
        <v>1.98</v>
      </c>
      <c r="L48" s="46">
        <v>108.9</v>
      </c>
      <c r="M48" s="23"/>
    </row>
    <row r="49" spans="1:13" s="5" customFormat="1" ht="19.149999999999999" customHeight="1" x14ac:dyDescent="0.35">
      <c r="B49" s="59"/>
      <c r="C49" s="60"/>
      <c r="D49" s="61"/>
      <c r="E49" s="61"/>
      <c r="F49" s="61"/>
      <c r="I49" s="48"/>
      <c r="J49" s="48"/>
      <c r="K49" s="48"/>
      <c r="L49" s="62"/>
      <c r="M49" s="23"/>
    </row>
    <row r="50" spans="1:13" s="5" customFormat="1" ht="19.149999999999999" customHeight="1" x14ac:dyDescent="0.25">
      <c r="H50" s="39"/>
    </row>
    <row r="51" spans="1:13" s="5" customFormat="1" ht="19.149999999999999" customHeight="1" x14ac:dyDescent="0.25">
      <c r="B51" s="1" t="s">
        <v>87</v>
      </c>
      <c r="C51" s="12">
        <f>COUNTIF($K$4:$K$48,"&gt;=0")</f>
        <v>45</v>
      </c>
      <c r="D51" s="13"/>
      <c r="E51" s="13"/>
      <c r="F51" s="13"/>
      <c r="G51" s="14" t="s">
        <v>88</v>
      </c>
      <c r="H51" s="9">
        <f>COUNTIF($K$4:$K$48,"&gt;0")</f>
        <v>35</v>
      </c>
      <c r="I51" s="1">
        <f>SUM(I4:I48)</f>
        <v>208144.04</v>
      </c>
      <c r="J51" s="1">
        <f>SUM(J4:J48)</f>
        <v>156710.28</v>
      </c>
      <c r="K51" s="1">
        <f>SUM(K4:K49)</f>
        <v>51433.760000000009</v>
      </c>
      <c r="L51" s="2">
        <f>SUM(L4:L48)</f>
        <v>1872720.2</v>
      </c>
    </row>
    <row r="52" spans="1:13" s="5" customFormat="1" ht="19.149999999999999" customHeight="1" x14ac:dyDescent="0.25">
      <c r="B52" s="63"/>
      <c r="C52" s="64"/>
      <c r="D52" s="64"/>
      <c r="E52" s="63"/>
      <c r="F52" s="65"/>
      <c r="I52" s="49"/>
      <c r="J52" s="49"/>
      <c r="K52" s="49"/>
      <c r="L52" s="66"/>
    </row>
    <row r="53" spans="1:13" s="67" customFormat="1" ht="30" customHeight="1" x14ac:dyDescent="0.25">
      <c r="A53" s="57"/>
      <c r="B53" s="13"/>
      <c r="C53" s="13"/>
      <c r="D53" s="13"/>
      <c r="E53" s="13"/>
      <c r="F53" s="13"/>
      <c r="G53" s="14" t="s">
        <v>76</v>
      </c>
      <c r="H53" s="5"/>
      <c r="I53" s="5"/>
      <c r="J53" s="5"/>
      <c r="K53" s="5"/>
      <c r="L53" s="5"/>
    </row>
    <row r="54" spans="1:13" s="5" customFormat="1" ht="15" customHeight="1" x14ac:dyDescent="0.25">
      <c r="B54" s="68"/>
      <c r="C54" s="69"/>
      <c r="D54" s="69"/>
      <c r="E54" s="70"/>
      <c r="F54" s="70"/>
      <c r="G54" s="40"/>
      <c r="H54" s="40"/>
      <c r="I54" s="50"/>
      <c r="J54" s="50"/>
      <c r="K54" s="50"/>
      <c r="L54" s="71"/>
    </row>
    <row r="55" spans="1:13" s="5" customFormat="1" ht="15" customHeight="1" x14ac:dyDescent="0.25">
      <c r="A55" s="5" t="s">
        <v>14</v>
      </c>
      <c r="B55" s="68">
        <v>100430</v>
      </c>
      <c r="C55" s="69" t="s">
        <v>185</v>
      </c>
      <c r="D55" s="69" t="s">
        <v>46</v>
      </c>
      <c r="E55" s="70">
        <v>44084</v>
      </c>
      <c r="F55" s="70">
        <v>44479</v>
      </c>
      <c r="G55" s="40" t="s">
        <v>93</v>
      </c>
      <c r="H55" s="40" t="s">
        <v>186</v>
      </c>
      <c r="I55" s="50">
        <v>198</v>
      </c>
      <c r="J55" s="50">
        <v>0</v>
      </c>
      <c r="K55" s="50">
        <v>198</v>
      </c>
      <c r="L55" s="71">
        <v>6128.92</v>
      </c>
    </row>
    <row r="56" spans="1:13" s="5" customFormat="1" ht="15" customHeight="1" x14ac:dyDescent="0.35">
      <c r="A56" s="5" t="str">
        <f>LOOKUP(B56,B$63:C$75)</f>
        <v>Seward</v>
      </c>
      <c r="B56" s="24">
        <v>100430</v>
      </c>
      <c r="C56" s="25" t="s">
        <v>152</v>
      </c>
      <c r="D56" s="24" t="s">
        <v>46</v>
      </c>
      <c r="E56" s="26">
        <v>43839</v>
      </c>
      <c r="F56" s="26">
        <v>45382</v>
      </c>
      <c r="G56" s="27" t="s">
        <v>30</v>
      </c>
      <c r="H56" s="27" t="s">
        <v>153</v>
      </c>
      <c r="I56" s="28">
        <v>79</v>
      </c>
      <c r="J56" s="28">
        <v>0</v>
      </c>
      <c r="K56" s="28">
        <f>I56-J56</f>
        <v>79</v>
      </c>
      <c r="L56" s="29">
        <v>790</v>
      </c>
    </row>
    <row r="57" spans="1:13" s="5" customFormat="1" ht="15" customHeight="1" x14ac:dyDescent="0.35">
      <c r="B57" s="24"/>
      <c r="C57" s="25"/>
      <c r="D57" s="24"/>
      <c r="E57" s="26"/>
      <c r="F57" s="26"/>
      <c r="G57" s="27"/>
      <c r="H57" s="27"/>
      <c r="I57" s="28"/>
      <c r="J57" s="28"/>
      <c r="K57" s="28"/>
      <c r="L57" s="29"/>
    </row>
    <row r="58" spans="1:13" s="5" customFormat="1" ht="15" customHeight="1" x14ac:dyDescent="0.35">
      <c r="B58" s="24"/>
      <c r="C58" s="25"/>
      <c r="D58" s="24"/>
      <c r="E58" s="26"/>
      <c r="F58" s="26"/>
      <c r="G58" s="27"/>
      <c r="H58" s="27"/>
      <c r="I58" s="28"/>
      <c r="J58" s="28"/>
      <c r="K58" s="28"/>
      <c r="L58" s="29"/>
    </row>
    <row r="59" spans="1:13" s="5" customFormat="1" ht="15" customHeight="1" x14ac:dyDescent="0.25">
      <c r="B59" s="72"/>
      <c r="C59" s="73"/>
      <c r="D59" s="73"/>
      <c r="E59" s="74"/>
      <c r="F59" s="74"/>
      <c r="G59" s="41"/>
      <c r="H59" s="41"/>
      <c r="I59" s="51"/>
      <c r="J59" s="51"/>
      <c r="K59" s="51"/>
      <c r="L59" s="75"/>
    </row>
    <row r="60" spans="1:13" s="5" customFormat="1" ht="21.4" customHeight="1" x14ac:dyDescent="0.25">
      <c r="B60" s="1" t="s">
        <v>89</v>
      </c>
      <c r="C60" s="9">
        <f>COUNTIF($K$55:$K$59,"&gt;=0")</f>
        <v>2</v>
      </c>
      <c r="D60" s="15"/>
      <c r="E60" s="13"/>
      <c r="F60" s="13"/>
      <c r="G60" s="14" t="s">
        <v>90</v>
      </c>
      <c r="H60" s="9">
        <f>COUNTIF($K$55:$K$59,"&gt;0")</f>
        <v>2</v>
      </c>
      <c r="I60" s="1">
        <f>SUM(I55:I59)</f>
        <v>277</v>
      </c>
      <c r="J60" s="1">
        <f>SUM(J55:J59)</f>
        <v>0</v>
      </c>
      <c r="K60" s="1">
        <f>SUM(K55:K59)</f>
        <v>277</v>
      </c>
      <c r="L60" s="2">
        <f>SUM(L55:L59)</f>
        <v>6918.92</v>
      </c>
    </row>
    <row r="61" spans="1:13" s="58" customFormat="1" ht="30" customHeight="1" x14ac:dyDescent="0.35">
      <c r="B61" s="42"/>
      <c r="C61" s="42"/>
      <c r="D61" s="42"/>
      <c r="E61" s="42"/>
      <c r="F61" s="42"/>
      <c r="G61" s="76" t="s">
        <v>77</v>
      </c>
      <c r="H61" s="7"/>
      <c r="I61" s="52"/>
      <c r="J61" s="52"/>
      <c r="K61" s="52"/>
      <c r="L61" s="52"/>
    </row>
    <row r="62" spans="1:13" s="5" customFormat="1" ht="21.4" customHeight="1" x14ac:dyDescent="0.25">
      <c r="B62" s="1" t="s">
        <v>92</v>
      </c>
      <c r="C62" s="9">
        <f>C51+C60</f>
        <v>47</v>
      </c>
      <c r="D62" s="15"/>
      <c r="E62" s="13"/>
      <c r="F62" s="13"/>
      <c r="G62" s="14" t="s">
        <v>91</v>
      </c>
      <c r="H62" s="9">
        <f>H51+H60</f>
        <v>37</v>
      </c>
      <c r="I62" s="16">
        <f>I51+I60</f>
        <v>208421.04</v>
      </c>
      <c r="J62" s="16">
        <f>J51+J60</f>
        <v>156710.28</v>
      </c>
      <c r="K62" s="16">
        <f>K51+K60</f>
        <v>51710.760000000009</v>
      </c>
      <c r="L62" s="17">
        <f>L51+L60</f>
        <v>1879639.1199999999</v>
      </c>
    </row>
    <row r="63" spans="1:13" s="5" customFormat="1" ht="14.25" customHeight="1" x14ac:dyDescent="0.25">
      <c r="A63" s="5" t="s">
        <v>25</v>
      </c>
      <c r="B63" s="13">
        <v>100410</v>
      </c>
      <c r="C63" s="15" t="s">
        <v>20</v>
      </c>
      <c r="D63" s="15"/>
      <c r="E63" s="5" t="s">
        <v>60</v>
      </c>
      <c r="F63" s="6"/>
      <c r="G63" s="12" t="s">
        <v>119</v>
      </c>
      <c r="I63" s="1">
        <f>SUMIF($G$4:$G$60,"Alaska Milling &amp; Fabrication LLC",$I$4:$I$60)</f>
        <v>144.97</v>
      </c>
      <c r="J63" s="1">
        <f>SUMIF($G$4:$G$60,"Alaska Milling &amp; Fabrication LLC",$J$4:$J$60)</f>
        <v>144.97</v>
      </c>
      <c r="K63" s="1">
        <f>SUMIF($G$4:$G$60,"Alaska Milling &amp; Fabrication LLC",$K$4:$K$60)</f>
        <v>0</v>
      </c>
      <c r="L63" s="2">
        <f>SUMIF($G$4:$G$60,"Alaska Milling &amp; Fabrication LLC",$L$4:$L$60)</f>
        <v>0</v>
      </c>
    </row>
    <row r="64" spans="1:13" s="5" customFormat="1" ht="14.25" customHeight="1" x14ac:dyDescent="0.25">
      <c r="B64" s="13">
        <v>100420</v>
      </c>
      <c r="C64" s="15" t="s">
        <v>21</v>
      </c>
      <c r="D64" s="15"/>
      <c r="E64" s="6"/>
      <c r="F64" s="6"/>
      <c r="G64" s="5" t="s">
        <v>45</v>
      </c>
      <c r="I64" s="1">
        <f>SUMIF($G$4:$G$60,"Alaska Musicwood Industries",$I$4:$I$60)</f>
        <v>0</v>
      </c>
      <c r="J64" s="1">
        <f>SUMIF($G$4:$G$60,"Alaska Musicwood Industries",$J$4:$J$60)</f>
        <v>0</v>
      </c>
      <c r="K64" s="1">
        <f>SUMIF($G$4:$G$60,"Alaska Musicwood Industries",$K$4:$K$60)</f>
        <v>0</v>
      </c>
      <c r="L64" s="2">
        <f>SUMIF($G$4:$G$60,"Alaska Musicwood Industries",$L$4:$L$60)</f>
        <v>0</v>
      </c>
    </row>
    <row r="65" spans="2:12" s="5" customFormat="1" ht="14.25" customHeight="1" x14ac:dyDescent="0.25">
      <c r="B65" s="13">
        <v>100430</v>
      </c>
      <c r="C65" s="15" t="s">
        <v>14</v>
      </c>
      <c r="D65" s="15"/>
      <c r="E65" s="6"/>
      <c r="F65" s="6"/>
      <c r="G65" s="5" t="s">
        <v>61</v>
      </c>
      <c r="I65" s="1">
        <f>SUMIF($G$4:$G$60,"Alaska Tonewood LLC",$I$4:$I$60)</f>
        <v>0</v>
      </c>
      <c r="J65" s="1">
        <f>SUMIF($G$4:$G$60,"Alaska Tonewood LLC",$J$4:$J$60)</f>
        <v>0</v>
      </c>
      <c r="K65" s="1">
        <f>SUMIF($G$4:$G$60,"Alaska Tonewood LLC",$K$4:$K$60)</f>
        <v>0</v>
      </c>
      <c r="L65" s="2">
        <f>SUMIF($G$4:$G$60,"Alaska Tonewood LLC",$L$4:$L$60)</f>
        <v>0</v>
      </c>
    </row>
    <row r="66" spans="2:12" s="5" customFormat="1" ht="14.25" customHeight="1" x14ac:dyDescent="0.25">
      <c r="B66" s="13">
        <v>100521</v>
      </c>
      <c r="C66" s="15" t="s">
        <v>12</v>
      </c>
      <c r="D66" s="15"/>
      <c r="E66" s="6"/>
      <c r="F66" s="6"/>
      <c r="G66" s="5" t="s">
        <v>4</v>
      </c>
      <c r="I66" s="1">
        <f>SUMIF($G$4:$G$60,"Alcan Forest Products LLP",$I$4:$I$60)</f>
        <v>27587.21</v>
      </c>
      <c r="J66" s="1">
        <f>SUMIF($G$4:$G$60,"Alcan Forest Products LLP",$J$4:$J$60)</f>
        <v>27572.35</v>
      </c>
      <c r="K66" s="1">
        <f>SUMIF($G$4:$G$60,"Alcan Forest Products LLP",$K$4:$K$60)</f>
        <v>14.860000000000582</v>
      </c>
      <c r="L66" s="2">
        <f>SUMIF($G$4:$G$60,"Alcan Forest Products LLP",$L$4:$L$60)</f>
        <v>701.02</v>
      </c>
    </row>
    <row r="67" spans="2:12" s="5" customFormat="1" ht="14.25" customHeight="1" x14ac:dyDescent="0.25">
      <c r="B67" s="13">
        <v>100522</v>
      </c>
      <c r="C67" s="15" t="s">
        <v>13</v>
      </c>
      <c r="D67" s="15"/>
      <c r="E67" s="6"/>
      <c r="F67" s="6"/>
      <c r="G67" s="5" t="s">
        <v>50</v>
      </c>
      <c r="I67" s="1">
        <f>SUMIF($G$4:$G$60,"Alcan Timber Inc",$I$4:$I$60)</f>
        <v>0</v>
      </c>
      <c r="J67" s="1">
        <f>SUMIF($G$4:$G$60,"Alcan Timber Inc",$J$4:$J$60)</f>
        <v>0</v>
      </c>
      <c r="K67" s="1">
        <f>SUMIF($G$4:$G$60,"Alcan Timber Inc",$K$4:$K$60)</f>
        <v>0</v>
      </c>
      <c r="L67" s="2">
        <f>SUMIF($G$4:$G$60,"Alcan Timber Inc",$L$4:$L$60)</f>
        <v>0</v>
      </c>
    </row>
    <row r="68" spans="2:12" s="5" customFormat="1" ht="14.25" customHeight="1" x14ac:dyDescent="0.25">
      <c r="B68" s="13">
        <v>100531</v>
      </c>
      <c r="C68" s="15" t="s">
        <v>22</v>
      </c>
      <c r="D68" s="15"/>
      <c r="E68" s="6"/>
      <c r="F68" s="6"/>
      <c r="G68" s="5" t="s">
        <v>146</v>
      </c>
      <c r="I68" s="1">
        <f>SUMIF($G$4:$G$60,"Andrew Cowan",$I$4:$I$60)</f>
        <v>40.04</v>
      </c>
      <c r="J68" s="1">
        <f>SUMIF($G$4:$G$60,"Andrew Cowan",$J$4:$J$60)</f>
        <v>27.75</v>
      </c>
      <c r="K68" s="1">
        <f>SUMIF($G$4:$G$60,"Andrew Cowan",$K$4:$K$60)</f>
        <v>12.29</v>
      </c>
      <c r="L68" s="2">
        <f>SUMIF($G$4:$G$60,"Andrew Cowan",$L$4:$L$60)</f>
        <v>1274.19</v>
      </c>
    </row>
    <row r="69" spans="2:12" s="5" customFormat="1" ht="14.25" customHeight="1" x14ac:dyDescent="0.25">
      <c r="B69" s="13">
        <v>100532</v>
      </c>
      <c r="C69" s="15" t="s">
        <v>8</v>
      </c>
      <c r="D69" s="15"/>
      <c r="E69" s="6"/>
      <c r="F69" s="6"/>
      <c r="G69" s="5" t="s">
        <v>93</v>
      </c>
      <c r="I69" s="1">
        <f>SUMIF($G$4:$G$60,"Andrews and Sons LLC",$I$4:$I$60)</f>
        <v>198</v>
      </c>
      <c r="J69" s="1">
        <f>SUMIF($G$4:$G$60,"Andrews and Sons LLC",$J$4:$J$60)</f>
        <v>0</v>
      </c>
      <c r="K69" s="1">
        <f>SUMIF($G$9:$G$60,"Andrews and Sons LLC",$K$9:$K$60)</f>
        <v>198</v>
      </c>
      <c r="L69" s="2">
        <f>SUMIF($G$4:$G$60,"Andrews and Sons LLC",$L$4:$L$60)</f>
        <v>6128.92</v>
      </c>
    </row>
    <row r="70" spans="2:12" s="5" customFormat="1" ht="14.25" customHeight="1" x14ac:dyDescent="0.25">
      <c r="B70" s="13">
        <v>100533</v>
      </c>
      <c r="C70" s="15" t="s">
        <v>11</v>
      </c>
      <c r="D70" s="15"/>
      <c r="E70" s="6"/>
      <c r="F70" s="6"/>
      <c r="G70" s="5" t="s">
        <v>118</v>
      </c>
      <c r="I70" s="1">
        <f>SUMIF($G$4:$G$60,"Ernie Eads",$I$4:$I$60)</f>
        <v>151.59</v>
      </c>
      <c r="J70" s="1">
        <f>SUMIF($G$9:$G$60,"Ernie Eads",$J$9:$J$60)</f>
        <v>88.09</v>
      </c>
      <c r="K70" s="1">
        <f>SUMIF($G$9:$G$60,"Ernie Eads",$K$9:$K$60)</f>
        <v>63.5</v>
      </c>
      <c r="L70" s="2">
        <f>SUMIF($G$9:$G$60,"Ernie Eads",$L$9:$L$60)</f>
        <v>10190.549999999999</v>
      </c>
    </row>
    <row r="71" spans="2:12" s="5" customFormat="1" ht="14.25" customHeight="1" x14ac:dyDescent="0.25">
      <c r="B71" s="13">
        <v>100534</v>
      </c>
      <c r="C71" s="15" t="s">
        <v>23</v>
      </c>
      <c r="D71" s="15"/>
      <c r="E71" s="6"/>
      <c r="F71" s="6"/>
      <c r="G71" s="35" t="s">
        <v>29</v>
      </c>
      <c r="I71" s="1">
        <f>SUMIF($G$4:$G$60,"Hecla Greens Creek Mining",$I$4:$I$60)</f>
        <v>895.92000000000007</v>
      </c>
      <c r="J71" s="1">
        <f>SUMIF($G$9:$G$60,"Hecla Greens Creek Mining",$J$9:$J$60)</f>
        <v>169.45</v>
      </c>
      <c r="K71" s="1">
        <f>SUMIF($G$9:$G$60,"Hecla Greens Creek Mining",$K$9:$K$60)</f>
        <v>726.47</v>
      </c>
      <c r="L71" s="2">
        <f>SUMIF($G$9:$G$60,"Hecla Greens Creek Mining",$L$9:$L$60)</f>
        <v>10905.06</v>
      </c>
    </row>
    <row r="72" spans="2:12" s="5" customFormat="1" ht="14.25" customHeight="1" x14ac:dyDescent="0.25">
      <c r="B72" s="13">
        <v>100535</v>
      </c>
      <c r="C72" s="15" t="s">
        <v>6</v>
      </c>
      <c r="D72" s="15"/>
      <c r="E72" s="6"/>
      <c r="F72" s="6"/>
      <c r="G72" s="5" t="s">
        <v>30</v>
      </c>
      <c r="I72" s="1">
        <f>SUMIF($G$4:$G$60,"Henry Drechnowicz",$I$4:$I$60)</f>
        <v>79</v>
      </c>
      <c r="J72" s="1">
        <f>SUMIF($G$9:$G$60,"Henry Drechnowicz",$J$9:$J$60)</f>
        <v>0</v>
      </c>
      <c r="K72" s="1">
        <f>SUMIF($G$9:$G$60,"Henry Drechnowicz",$K$9:$K$60)</f>
        <v>79</v>
      </c>
      <c r="L72" s="2">
        <f>SUMIF($G$9:$G$60,"Henry Drechnowicz",$L$9:$L$60)</f>
        <v>790</v>
      </c>
    </row>
    <row r="73" spans="2:12" s="5" customFormat="1" ht="14.25" customHeight="1" x14ac:dyDescent="0.25">
      <c r="B73" s="13">
        <v>100551</v>
      </c>
      <c r="C73" s="15" t="s">
        <v>9</v>
      </c>
      <c r="D73" s="15"/>
      <c r="E73" s="6"/>
      <c r="F73" s="6"/>
      <c r="G73" s="5" t="s">
        <v>5</v>
      </c>
      <c r="I73" s="1">
        <f>SUMIF($G$4:$G$60,"Icy Straits Lumber &amp; Mill",$I$4:$I$60)</f>
        <v>676.72</v>
      </c>
      <c r="J73" s="1">
        <f t="array" ref="J73">SUMIF($G$9:$G$60,"Icy Straits Lumber &amp; Mill",$J$9:$J$60)</f>
        <v>134</v>
      </c>
      <c r="K73" s="1">
        <f t="array" ref="K73">SUMIF($G$9:$G$60,"Icy Straits Lumber &amp; Mill",$K$9:$K$60)</f>
        <v>542.72</v>
      </c>
      <c r="L73" s="2">
        <f t="array" ref="L73">SUMIF($G$9:$G$60,"Icy Straits Lumber &amp; Mill",$L$9:$L$60)</f>
        <v>30811.64</v>
      </c>
    </row>
    <row r="74" spans="2:12" s="5" customFormat="1" ht="14.25" customHeight="1" x14ac:dyDescent="0.25">
      <c r="B74" s="13">
        <v>100552</v>
      </c>
      <c r="C74" s="15" t="s">
        <v>10</v>
      </c>
      <c r="D74" s="15"/>
      <c r="E74" s="6"/>
      <c r="F74" s="6"/>
      <c r="G74" s="5" t="s">
        <v>135</v>
      </c>
      <c r="I74" s="1">
        <f>SUMIF($G$4:$G$60,"James Stevens",$I$4:$I$60)</f>
        <v>156</v>
      </c>
      <c r="J74" s="1">
        <f>SUMIF($G$9:$G$60,"James Stevens",$J$9:$J$60)</f>
        <v>0</v>
      </c>
      <c r="K74" s="1">
        <f>SUMIF($G$9:$G$60,"James Stevens",$K$9:$K$60)</f>
        <v>156</v>
      </c>
      <c r="L74" s="2">
        <f>SUMIF($G$9:$G$60,"James Stevens",$L$9:$L$60)</f>
        <v>31251.96</v>
      </c>
    </row>
    <row r="75" spans="2:12" s="5" customFormat="1" ht="14.25" customHeight="1" x14ac:dyDescent="0.25">
      <c r="B75" s="13">
        <v>100554</v>
      </c>
      <c r="C75" s="15" t="s">
        <v>7</v>
      </c>
      <c r="D75" s="15"/>
      <c r="E75" s="6"/>
      <c r="F75" s="6"/>
      <c r="G75" s="5" t="s">
        <v>125</v>
      </c>
      <c r="I75" s="1">
        <f>SUMIF($G$4:$G$60,"Jerry Baker",$I$4:$I$60)</f>
        <v>0</v>
      </c>
      <c r="J75" s="1">
        <f>SUMIF($G$9:$G$60,"Jerry Baker",$J$9:$J$60)</f>
        <v>0</v>
      </c>
      <c r="K75" s="1">
        <f>SUMIF($G$9:$G$60,"Jerry Baker",$K$9:$K$60)</f>
        <v>0</v>
      </c>
      <c r="L75" s="2">
        <f>SUMIF($G$9:$G$60,"Jerry Baker",$L$9:$L$60)</f>
        <v>0</v>
      </c>
    </row>
    <row r="76" spans="2:12" s="5" customFormat="1" ht="14.25" customHeight="1" x14ac:dyDescent="0.25">
      <c r="D76" s="15"/>
      <c r="E76" s="6"/>
      <c r="F76" s="6"/>
      <c r="G76" s="5" t="s">
        <v>33</v>
      </c>
      <c r="I76" s="1">
        <f>SUMIF($G$4:$G$59,"Jerod Cook",$I$4:$I$59)</f>
        <v>16.880000000000003</v>
      </c>
      <c r="J76" s="1">
        <f>SUMIF($G$9:$G$60,"Jerod Cook",$J$9:$J$60)</f>
        <v>0</v>
      </c>
      <c r="K76" s="1">
        <f>SUMIF($G$9:$G$60,"Jerod Cook",$K$9:$K$60)</f>
        <v>16.880000000000003</v>
      </c>
      <c r="L76" s="2">
        <f>SUMIF($G$9:$G$60,"Jerod Cook",$L$9:$L$60)</f>
        <v>499.14</v>
      </c>
    </row>
    <row r="77" spans="2:12" s="5" customFormat="1" ht="14.25" customHeight="1" x14ac:dyDescent="0.25">
      <c r="B77" s="13"/>
      <c r="C77" s="15"/>
      <c r="D77" s="15"/>
      <c r="E77" s="6"/>
      <c r="F77" s="6"/>
      <c r="G77" s="5" t="s">
        <v>122</v>
      </c>
      <c r="I77" s="1">
        <f>SUMIF($G$4:$G$59,"JK Forest Products LLC",$I$4:$I$59)</f>
        <v>558.87</v>
      </c>
      <c r="J77" s="1">
        <f>SUMIF($G$9:$G$60,"JK Forest Products LLC",$J$9:$J$60)</f>
        <v>5.46</v>
      </c>
      <c r="K77" s="1">
        <f>SUMIF($G$9:$G$60,"JK Forest Products LLC",$K$9:$K$60)</f>
        <v>553.41</v>
      </c>
      <c r="L77" s="2">
        <f>SUMIF($G$9:$G$60,"JK Forest Products LLC",$L$9:$L$60)</f>
        <v>9968.85</v>
      </c>
    </row>
    <row r="78" spans="2:12" s="5" customFormat="1" ht="14.25" customHeight="1" x14ac:dyDescent="0.25">
      <c r="B78" s="13"/>
      <c r="C78" s="15"/>
      <c r="D78" s="15"/>
      <c r="E78" s="6"/>
      <c r="F78" s="6"/>
      <c r="G78" s="5" t="s">
        <v>47</v>
      </c>
      <c r="I78" s="1">
        <f>SUMIF($G$4:$G$60,"K &amp; D Lumber",$I$4:$I$60)</f>
        <v>899.91</v>
      </c>
      <c r="J78" s="1">
        <f>SUMIF($G$9:$G$60,"K &amp; D Lumber",$J$9:$J$60)</f>
        <v>487.58</v>
      </c>
      <c r="K78" s="1">
        <f>SUMIF($G$9:$G$60,"K &amp; D Lumber",$K$9:$K$60)</f>
        <v>412.33</v>
      </c>
      <c r="L78" s="2">
        <f>SUMIF($G$9:$G$60,"K &amp; D Lumber",$L$9:$L$60)</f>
        <v>44327.979999999996</v>
      </c>
    </row>
    <row r="79" spans="2:12" s="5" customFormat="1" ht="14.25" customHeight="1" x14ac:dyDescent="0.25">
      <c r="B79" s="13"/>
      <c r="C79" s="15"/>
      <c r="D79" s="15"/>
      <c r="E79" s="6"/>
      <c r="F79" s="6"/>
      <c r="G79" s="5" t="s">
        <v>166</v>
      </c>
      <c r="I79" s="1">
        <f>SUMIF($G$4:$G$60,"Kari Baekkelund",$I$4:$I$60)</f>
        <v>2.62</v>
      </c>
      <c r="J79" s="1">
        <f>SUMIF($G$9:$G$60,"Kari Baekkelund",$J$9:$J$60)</f>
        <v>2.62</v>
      </c>
      <c r="K79" s="1">
        <f>SUMIF($G$9:$G$60,"Kari Baekkelund",$K$9:$K$60)</f>
        <v>0</v>
      </c>
      <c r="L79" s="2">
        <f>SUMIF($G$9:$G$60,"Kari Baekkelund",$L$9:$L$60)</f>
        <v>0</v>
      </c>
    </row>
    <row r="80" spans="2:12" s="5" customFormat="1" ht="14.25" customHeight="1" x14ac:dyDescent="0.25">
      <c r="B80" s="13"/>
      <c r="C80" s="15"/>
      <c r="D80" s="15"/>
      <c r="E80" s="6"/>
      <c r="F80" s="6"/>
      <c r="G80" s="5" t="s">
        <v>78</v>
      </c>
      <c r="I80" s="1">
        <f>SUMIF($G$4:$G$60,"Luther J. Coby",$I$4:$I$60)</f>
        <v>51.74</v>
      </c>
      <c r="J80" s="1">
        <f>SUMIF($G$9:$G$60,"Luther J. Coby",$J$9:$J$60)</f>
        <v>0</v>
      </c>
      <c r="K80" s="1">
        <f>SUMIF($G$9:$G$60,"Luther J. Coby",$K$9:$K$60)</f>
        <v>51.74</v>
      </c>
      <c r="L80" s="2">
        <f>SUMIF($G$9:$G$60,"Luther J. Coby",$L$9:$L$60)</f>
        <v>1501.04</v>
      </c>
    </row>
    <row r="81" spans="2:12" s="5" customFormat="1" ht="14.25" customHeight="1" x14ac:dyDescent="0.25">
      <c r="B81" s="13"/>
      <c r="C81" s="15"/>
      <c r="D81" s="13"/>
      <c r="E81" s="6"/>
      <c r="F81" s="6"/>
      <c r="G81" s="5" t="s">
        <v>44</v>
      </c>
      <c r="I81" s="1">
        <f>SUMIF($G$4:$G$60,"Micheal B Allen Jr",$I$4:$I$60)</f>
        <v>9802.6299999999992</v>
      </c>
      <c r="J81" s="1">
        <f>SUMIF($G$9:$G$60,"Micheal B Allen Jr",$J$9:$J$60)</f>
        <v>4607.01</v>
      </c>
      <c r="K81" s="1">
        <f>SUMIF($G$9:$G$60,"Micheal B Allen Jr",$K$9:$K$60)</f>
        <v>5195.619999999999</v>
      </c>
      <c r="L81" s="2">
        <f>SUMIF($G$9:$G$60,"Micheal B Allen Jr",$L$9:$L$60)</f>
        <v>30909.97</v>
      </c>
    </row>
    <row r="82" spans="2:12" s="5" customFormat="1" ht="14.25" customHeight="1" x14ac:dyDescent="0.25">
      <c r="B82" s="13"/>
      <c r="C82" s="15"/>
      <c r="D82" s="15"/>
      <c r="E82" s="6"/>
      <c r="F82" s="6"/>
      <c r="G82" s="5" t="s">
        <v>175</v>
      </c>
      <c r="I82" s="1">
        <f>SUMIF($G$4:$G$60,"Peter J Litsheim",$I$4:$I$60)</f>
        <v>10.23</v>
      </c>
      <c r="J82" s="1">
        <f>SUMIF($G$9:$G$60,"Peter J Litsheim",$J$9:$J$60)</f>
        <v>0</v>
      </c>
      <c r="K82" s="1">
        <f>SUMIF($G$9:$G$60,"Peter J Litsheim",$K$9:$K$60)</f>
        <v>10.23</v>
      </c>
      <c r="L82" s="2">
        <f>SUMIF($G$9:$G$60,"Peter J Litsheim",$L$9:$L$60)</f>
        <v>1157.32</v>
      </c>
    </row>
    <row r="83" spans="2:12" s="5" customFormat="1" ht="14.25" customHeight="1" x14ac:dyDescent="0.25">
      <c r="B83" s="13"/>
      <c r="C83" s="15"/>
      <c r="D83" s="15"/>
      <c r="E83" s="6"/>
      <c r="F83" s="6"/>
      <c r="G83" s="5" t="s">
        <v>2</v>
      </c>
      <c r="I83" s="1">
        <f>SUMIF($G$4:$G$60,"Porter Lumber",$I$4:$I$60)</f>
        <v>0</v>
      </c>
      <c r="J83" s="1">
        <f t="array" ref="J83">SUMIF($G$9:$G$60,"Porter Lumber",$J$9:$J$60)</f>
        <v>0</v>
      </c>
      <c r="K83" s="1">
        <f t="array" ref="K83">SUMIF($G$9:$G$60,"Porter Lumber",$K$9:$K$60)</f>
        <v>0</v>
      </c>
      <c r="L83" s="2">
        <f t="array" ref="L83">SUMIF($G$9:$G$60,"Porter Lumber",$L$9:$L$60)</f>
        <v>0</v>
      </c>
    </row>
    <row r="84" spans="2:12" s="5" customFormat="1" ht="14.25" customHeight="1" x14ac:dyDescent="0.25">
      <c r="B84" s="13"/>
      <c r="C84" s="15"/>
      <c r="D84" s="15"/>
      <c r="E84" s="6"/>
      <c r="F84" s="6"/>
      <c r="G84" s="5" t="s">
        <v>36</v>
      </c>
      <c r="I84" s="1">
        <f>SUMIF($G$4:$G$60,"Ralph Dean Blankenship",$I$4:$I$60)</f>
        <v>2313.25</v>
      </c>
      <c r="J84" s="1">
        <f>SUMIF($G$9:$G$60,"Ralph Dean Blankenship",$J$9:$J$60)</f>
        <v>2155.9700000000003</v>
      </c>
      <c r="K84" s="1">
        <f>SUMIF($G$9:$G$60,"Ralph Dean Blankenship",$K$9:$K$60)</f>
        <v>157.27999999999997</v>
      </c>
      <c r="L84" s="2">
        <f>SUMIF($G$9:$G$60,"Ralph Dean Blankenship",$L$9:$L$60)</f>
        <v>101426.8</v>
      </c>
    </row>
    <row r="85" spans="2:12" s="5" customFormat="1" ht="14.25" customHeight="1" x14ac:dyDescent="0.25">
      <c r="B85" s="13"/>
      <c r="C85" s="15"/>
      <c r="D85" s="15"/>
      <c r="E85" s="6"/>
      <c r="F85" s="6"/>
      <c r="G85" s="5" t="s">
        <v>96</v>
      </c>
      <c r="I85" s="1">
        <f>SUMIF($G$4:$G$60,"Spencer F Pitcher",$I$4:$I$60)</f>
        <v>0</v>
      </c>
      <c r="J85" s="1">
        <f>SUMIF($G$9:$G$60,"Spencer F Pitcher",$J$9:$J$60)</f>
        <v>0</v>
      </c>
      <c r="K85" s="1">
        <f>SUMIF($G$9:$G$60,"Spencer F Pitcher",$K$9:$K$60)</f>
        <v>0</v>
      </c>
      <c r="L85" s="2">
        <f>SUMIF($G$9:$G$60,"Spencer F Pitcher",$L$9:$L$60)</f>
        <v>0</v>
      </c>
    </row>
    <row r="86" spans="2:12" s="5" customFormat="1" ht="14.25" customHeight="1" x14ac:dyDescent="0.25">
      <c r="B86" s="15"/>
      <c r="C86" s="15"/>
      <c r="D86" s="15"/>
      <c r="E86" s="6"/>
      <c r="F86" s="6"/>
      <c r="G86" s="5" t="s">
        <v>102</v>
      </c>
      <c r="I86" s="1">
        <f>SUMIF($G$4:$G$60,"Sterling Chew",$I$4:$I$60)</f>
        <v>83.47</v>
      </c>
      <c r="J86" s="1">
        <f>SUMIF($G$9:$G$60,"Sterling Chew",$J$9:$J$60)</f>
        <v>0</v>
      </c>
      <c r="K86" s="1">
        <f>SUMIF($G$9:$G$60,"Sterling Chew",$K$9:$K$60)</f>
        <v>83.47</v>
      </c>
      <c r="L86" s="2">
        <f>SUMIF($G$9:$G$60,"Sterling Chew",$L$9:$L$60)</f>
        <v>4386.57</v>
      </c>
    </row>
    <row r="87" spans="2:12" s="5" customFormat="1" ht="14.25" customHeight="1" x14ac:dyDescent="0.25">
      <c r="B87" s="15"/>
      <c r="C87" s="15"/>
      <c r="D87" s="15"/>
      <c r="E87" s="6"/>
      <c r="F87" s="6"/>
      <c r="G87" s="5" t="s">
        <v>97</v>
      </c>
      <c r="I87" s="1">
        <f>SUMIF($G$4:$G$60,"State of Alaska",$I$4:$I$60)</f>
        <v>33291.01</v>
      </c>
      <c r="J87" s="1">
        <f>SUMIF($G$9:$G$60,"State of Alaska",$J$9:$J$60)</f>
        <v>755.85</v>
      </c>
      <c r="K87" s="1">
        <f>SUMIF($G$9:$G$60,"State of Alaska",$K$9:$K$60)</f>
        <v>32535.160000000003</v>
      </c>
      <c r="L87" s="2">
        <f>SUMIF($G$9:$G$60,"State of Alaska",$L$9:$L$60)</f>
        <v>0</v>
      </c>
    </row>
    <row r="88" spans="2:12" s="5" customFormat="1" ht="14.25" customHeight="1" x14ac:dyDescent="0.25">
      <c r="B88" s="15"/>
      <c r="C88" s="15"/>
      <c r="D88" s="15"/>
      <c r="E88" s="6"/>
      <c r="F88" s="6"/>
      <c r="G88" s="5" t="s">
        <v>112</v>
      </c>
      <c r="I88" s="1">
        <f>SUMIF($G$4:$G$60,"The Nature Conservancy",$I$4:$I$60)</f>
        <v>44.47</v>
      </c>
      <c r="J88" s="1">
        <f>SUMIF($G$9:$G$60,"The Nature Conservancy",$J$9:$J$60)</f>
        <v>0</v>
      </c>
      <c r="K88" s="1">
        <f>SUMIF($G$9:$G$60,"The Nature Conservancy",$K$9:$K$60)</f>
        <v>44.47</v>
      </c>
      <c r="L88" s="2">
        <f>SUMIF($G$9:$G$60,"The Nature Conservancy",$L$9:$L$60)</f>
        <v>1810.68</v>
      </c>
    </row>
    <row r="89" spans="2:12" s="5" customFormat="1" ht="14.25" customHeight="1" x14ac:dyDescent="0.25">
      <c r="B89" s="15"/>
      <c r="C89" s="15"/>
      <c r="D89" s="15"/>
      <c r="E89" s="6"/>
      <c r="F89" s="6"/>
      <c r="G89" s="5" t="s">
        <v>52</v>
      </c>
      <c r="I89" s="1">
        <f>SUMIF($G$4:$G$60,"T.L.C. Management, LLC",$I$4:$I$60)</f>
        <v>67.25</v>
      </c>
      <c r="J89" s="1">
        <f>SUMIF($G$9:$G$60,"T.L.C. Management, LLC",$J$9:$J$60)</f>
        <v>11.74</v>
      </c>
      <c r="K89" s="1">
        <f>SUMIF($G$9:$G$60,"T.L.C. Management, LLC",$K$9:$K$60)</f>
        <v>55.51</v>
      </c>
      <c r="L89" s="2">
        <f>SUMIF($G$9:$G$60,"T.L.C. Management, LLC",$L$9:$L$60)</f>
        <v>222.86</v>
      </c>
    </row>
    <row r="90" spans="2:12" s="5" customFormat="1" ht="14.25" customHeight="1" x14ac:dyDescent="0.25">
      <c r="B90" s="15"/>
      <c r="C90" s="15"/>
      <c r="D90" s="15"/>
      <c r="E90" s="6"/>
      <c r="F90" s="6"/>
      <c r="G90" s="35" t="s">
        <v>37</v>
      </c>
      <c r="I90" s="1">
        <v>94.66</v>
      </c>
      <c r="J90" s="1">
        <f>SUMIF($G$9:$G$59,"TM Construction, Inc
TM Construction, Inc",$J$9:$J$59)</f>
        <v>9.58</v>
      </c>
      <c r="K90" s="1">
        <f>SUMIF($G$9:$G$59,"TM Construction, Inc
TM Construction, Inc",$K$9:$K$59)</f>
        <v>85.08</v>
      </c>
      <c r="L90" s="2">
        <f>SUMIF($G$9:$G$59,"TM Construction, Inc
TM Construction, Inc",$L$9:$L$59)</f>
        <v>2048.15</v>
      </c>
    </row>
    <row r="91" spans="2:12" s="5" customFormat="1" ht="14.25" customHeight="1" x14ac:dyDescent="0.25">
      <c r="B91" s="15"/>
      <c r="C91" s="15"/>
      <c r="D91" s="15"/>
      <c r="E91" s="6"/>
      <c r="F91" s="6"/>
      <c r="G91" s="5" t="s">
        <v>16</v>
      </c>
      <c r="I91" s="1">
        <f>SUMIF($G$4:$G$60,"Viking Lumber Company",$I$4:$I$60)</f>
        <v>127660.65</v>
      </c>
      <c r="J91" s="1">
        <f t="array" ref="J91">SUMIF($G$9:$G$60,"Viking Lumber Company",$J$9:$J$60)</f>
        <v>120537.86</v>
      </c>
      <c r="K91" s="1">
        <f t="array" ref="K91">SUMIF($G$9:$G$60,"Viking Lumber Company",$K$9:$K$60)</f>
        <v>7122.7899999999881</v>
      </c>
      <c r="L91" s="2">
        <f t="array" ref="L91">SUMIF($G$9:$G$60,"Viking Lumber Company",$L$9:$L$60)</f>
        <v>952550.85</v>
      </c>
    </row>
    <row r="92" spans="2:12" s="5" customFormat="1" ht="14.25" customHeight="1" x14ac:dyDescent="0.25">
      <c r="B92" s="15"/>
      <c r="C92" s="15"/>
      <c r="D92" s="15"/>
      <c r="E92" s="6"/>
      <c r="F92" s="6"/>
      <c r="G92" s="5" t="s">
        <v>59</v>
      </c>
      <c r="I92" s="1">
        <f>SUMIF($G$4:$G$60,"Western Gold Cedar Products",$I$4:$I$60)</f>
        <v>3589</v>
      </c>
      <c r="J92" s="1">
        <f>SUMIF($G$9:$G$60,"Western Gold Cedar Products",$J$9:$J$60)</f>
        <v>0</v>
      </c>
      <c r="K92" s="1">
        <f>SUMIF($G$9:$G$60,"Western Gold Cedar Products",$K$9:$K$60)</f>
        <v>3589</v>
      </c>
      <c r="L92" s="2">
        <f>SUMIF($G$9:$G$60,"Western Gold Cedar Products",$L$9:$L$60)</f>
        <v>636454.1</v>
      </c>
    </row>
    <row r="93" spans="2:12" s="5" customFormat="1" ht="14.25" customHeight="1" x14ac:dyDescent="0.25">
      <c r="B93" s="15"/>
      <c r="C93" s="15"/>
      <c r="D93" s="15"/>
      <c r="E93" s="6"/>
      <c r="F93" s="6"/>
      <c r="G93" s="5" t="s">
        <v>149</v>
      </c>
      <c r="I93" s="1">
        <f>SUMIF($G$4:$G$60,"William Kaufman",$I$4:$I$60)</f>
        <v>4.95</v>
      </c>
      <c r="J93" s="1">
        <f>SUMIF($G$9:$G$60,"William Kaufman",$J$9:$J$60)</f>
        <v>0</v>
      </c>
      <c r="K93" s="1">
        <f>SUMIF($G$9:$G$60,"William Kaufman",$K$9:$K$60)</f>
        <v>4.95</v>
      </c>
      <c r="L93" s="2">
        <f>SUMIF($G$9:$G$60,"William Kaufman",$L$9:$L$60)</f>
        <v>321.47000000000003</v>
      </c>
    </row>
    <row r="94" spans="2:12" s="5" customFormat="1" ht="14.25" customHeight="1" thickBot="1" x14ac:dyDescent="0.3">
      <c r="B94" s="15"/>
      <c r="C94" s="15"/>
      <c r="D94" s="15"/>
      <c r="E94" s="6"/>
      <c r="F94" s="6"/>
      <c r="I94" s="3"/>
      <c r="J94" s="3"/>
      <c r="K94" s="3"/>
      <c r="L94" s="4"/>
    </row>
    <row r="95" spans="2:12" s="5" customFormat="1" ht="14.25" customHeight="1" x14ac:dyDescent="0.25">
      <c r="B95" s="15"/>
      <c r="C95" s="15"/>
      <c r="D95" s="15"/>
      <c r="E95" s="6"/>
      <c r="F95" s="6"/>
      <c r="H95" s="18"/>
      <c r="I95" s="1">
        <f>SUM(I63:I94)</f>
        <v>208421.04000000004</v>
      </c>
      <c r="J95" s="1">
        <f>SUM(J63:J94)</f>
        <v>156710.28</v>
      </c>
      <c r="K95" s="1">
        <f>SUM(K63:K94)</f>
        <v>51710.759999999995</v>
      </c>
      <c r="L95" s="2">
        <f>SUM(L63:L94)</f>
        <v>1879639.1199999999</v>
      </c>
    </row>
    <row r="96" spans="2:12" s="5" customFormat="1" ht="14.25" customHeight="1" x14ac:dyDescent="0.35">
      <c r="B96" s="15"/>
      <c r="C96" s="15"/>
      <c r="D96" s="15"/>
      <c r="E96" s="6"/>
      <c r="F96" s="6"/>
      <c r="G96" s="7"/>
      <c r="H96" s="7"/>
      <c r="I96" s="1"/>
      <c r="J96" s="1"/>
      <c r="K96" s="1"/>
      <c r="L96" s="2"/>
    </row>
    <row r="97" spans="1:12" s="5" customFormat="1" ht="14.25" customHeight="1" x14ac:dyDescent="0.25">
      <c r="B97" s="15"/>
      <c r="C97" s="15"/>
      <c r="D97" s="15"/>
      <c r="E97" s="6"/>
      <c r="F97" s="6"/>
      <c r="G97" s="9"/>
      <c r="I97" s="1"/>
      <c r="J97" s="1"/>
      <c r="K97" s="1"/>
      <c r="L97" s="2"/>
    </row>
    <row r="98" spans="1:12" s="5" customFormat="1" ht="14.25" customHeight="1" x14ac:dyDescent="0.25">
      <c r="B98" s="15"/>
      <c r="C98" s="15"/>
      <c r="D98" s="15"/>
      <c r="E98" s="6"/>
      <c r="F98" s="6"/>
      <c r="G98" s="9"/>
      <c r="I98" s="1"/>
      <c r="J98" s="1"/>
      <c r="K98" s="1"/>
      <c r="L98" s="2"/>
    </row>
    <row r="99" spans="1:12" s="5" customFormat="1" ht="14.25" customHeight="1" x14ac:dyDescent="0.35">
      <c r="B99" s="15"/>
      <c r="C99" s="15"/>
      <c r="D99" s="77"/>
      <c r="E99" s="19"/>
      <c r="F99" s="19"/>
      <c r="G99" s="9"/>
      <c r="I99" s="1"/>
      <c r="J99" s="1"/>
      <c r="K99" s="1"/>
      <c r="L99" s="2"/>
    </row>
    <row r="100" spans="1:12" s="5" customFormat="1" ht="14.25" customHeight="1" thickBot="1" x14ac:dyDescent="0.4">
      <c r="B100" s="15"/>
      <c r="C100" s="9" t="s">
        <v>83</v>
      </c>
      <c r="D100" s="15"/>
      <c r="E100" s="11" t="s">
        <v>0</v>
      </c>
      <c r="F100" s="22"/>
      <c r="G100" s="9"/>
      <c r="I100" s="1"/>
      <c r="J100" s="1"/>
      <c r="K100" s="1"/>
      <c r="L100" s="2"/>
    </row>
    <row r="101" spans="1:12" s="5" customFormat="1" ht="14.25" customHeight="1" x14ac:dyDescent="0.25">
      <c r="B101" s="15"/>
      <c r="C101" s="15"/>
      <c r="D101" s="15"/>
      <c r="E101" s="9" t="s">
        <v>62</v>
      </c>
      <c r="F101" s="6"/>
      <c r="G101" s="9"/>
      <c r="I101" s="1">
        <f>SUMIF($B$9:$B$60,"100410",$I$9:$I$60)</f>
        <v>0</v>
      </c>
      <c r="J101" s="1">
        <f>SUMIF($B$9:$B$60,"100410",$J$9:$J$60)</f>
        <v>0</v>
      </c>
      <c r="K101" s="1">
        <f>SUMIF($B$9:$B$60,"100410",$K$9:$K$60)</f>
        <v>0</v>
      </c>
      <c r="L101" s="2">
        <f>SUMIF($B$9:$B$60,"100410",$L$9:$L$60)</f>
        <v>0</v>
      </c>
    </row>
    <row r="102" spans="1:12" s="5" customFormat="1" ht="14.25" customHeight="1" x14ac:dyDescent="0.25">
      <c r="B102" s="15"/>
      <c r="C102" s="15"/>
      <c r="D102" s="15"/>
      <c r="E102" s="9" t="s">
        <v>63</v>
      </c>
      <c r="F102" s="6"/>
      <c r="G102" s="9"/>
      <c r="I102" s="1">
        <f t="array" ref="I102">SUMIF($B$9:$B$60,"100420",$I$9:$I$60)</f>
        <v>0</v>
      </c>
      <c r="J102" s="1">
        <f t="array" ref="J102">SUMIF($B$9:$B$60,"100420",$J$9:$J$60)</f>
        <v>0</v>
      </c>
      <c r="K102" s="1">
        <f>SUMIF($B$9:$B$60,"100420",$K$9:$K$60)</f>
        <v>0</v>
      </c>
      <c r="L102" s="2">
        <f t="array" ref="L102">SUMIF($B$9:$B$60,"100420",$L$9:$L$60)</f>
        <v>0</v>
      </c>
    </row>
    <row r="103" spans="1:12" s="5" customFormat="1" ht="14.25" customHeight="1" x14ac:dyDescent="0.25">
      <c r="B103" s="15"/>
      <c r="C103" s="15"/>
      <c r="D103" s="15"/>
      <c r="E103" s="9" t="s">
        <v>64</v>
      </c>
      <c r="F103" s="6"/>
      <c r="G103" s="9"/>
      <c r="I103" s="1">
        <f t="array" ref="I103">SUMIF($B$9:$B$60,"100430",$I$9:$I$60)</f>
        <v>277</v>
      </c>
      <c r="J103" s="1">
        <f t="array" ref="J103">SUMIF($B$9:$B$60,"100430",$J$9:$J$60)</f>
        <v>0</v>
      </c>
      <c r="K103" s="1">
        <f t="array" ref="K103">SUMIF($B$9:$B$60,"100430",$K$9:$K$60)</f>
        <v>277</v>
      </c>
      <c r="L103" s="2">
        <f t="array" ref="L103">SUMIF($B$9:$B$60,"100430",$L$9:$L$60)</f>
        <v>6918.92</v>
      </c>
    </row>
    <row r="104" spans="1:12" x14ac:dyDescent="0.35">
      <c r="C104" s="15"/>
      <c r="D104" s="15"/>
      <c r="E104" s="9"/>
      <c r="F104" s="6"/>
      <c r="G104" s="9"/>
      <c r="H104" s="5"/>
      <c r="I104" s="1"/>
      <c r="J104" s="1"/>
      <c r="K104" s="1"/>
      <c r="L104" s="2"/>
    </row>
    <row r="105" spans="1:12" ht="15.4" customHeight="1" thickBot="1" x14ac:dyDescent="0.4">
      <c r="A105" s="78"/>
      <c r="C105" s="15"/>
      <c r="D105" s="15"/>
      <c r="E105" s="10" t="s">
        <v>3</v>
      </c>
      <c r="F105" s="79"/>
      <c r="G105" s="9"/>
      <c r="H105" s="5"/>
      <c r="I105" s="1"/>
      <c r="J105" s="1"/>
      <c r="K105" s="1"/>
      <c r="L105" s="2"/>
    </row>
    <row r="106" spans="1:12" s="5" customFormat="1" x14ac:dyDescent="0.25">
      <c r="B106" s="13"/>
      <c r="C106" s="15"/>
      <c r="D106" s="15"/>
      <c r="E106" s="9" t="s">
        <v>65</v>
      </c>
      <c r="F106" s="6"/>
      <c r="G106" s="9"/>
      <c r="I106" s="1">
        <f t="array" ref="I106">SUMIF($B$9:$B$60,"100521",$I$9:$I$60)</f>
        <v>121.51</v>
      </c>
      <c r="J106" s="1">
        <f t="array" ref="J106">SUMIF($B$9:$B$60,"100521",$J$9:$J$60)</f>
        <v>30.37</v>
      </c>
      <c r="K106" s="1">
        <f t="array" ref="K106">SUMIF($B$9:$B$60,"100521",$K$9:$K$60)</f>
        <v>91.14</v>
      </c>
      <c r="L106" s="2">
        <f t="array" ref="L106">SUMIF($B$9:$B$60,"100521",$L$9:$L$60)</f>
        <v>4431.6899999999996</v>
      </c>
    </row>
    <row r="107" spans="1:12" s="5" customFormat="1" x14ac:dyDescent="0.25">
      <c r="B107" s="13"/>
      <c r="C107" s="15"/>
      <c r="D107" s="15"/>
      <c r="E107" s="9" t="s">
        <v>66</v>
      </c>
      <c r="F107" s="6"/>
      <c r="G107" s="9"/>
      <c r="I107" s="1">
        <f t="array" ref="I107">SUMIF($B$9:$B$60,"100522",$I$9:$I$60)</f>
        <v>37389.839999999997</v>
      </c>
      <c r="J107" s="1">
        <f t="array" ref="J107">SUMIF($B$9:$B$60,"100522",$J$9:$J$60)</f>
        <v>32179.360000000001</v>
      </c>
      <c r="K107" s="1">
        <f t="array" ref="K107">SUMIF($B$9:$B$60,"100522",$K$9:$K$60)</f>
        <v>5210.4799999999996</v>
      </c>
      <c r="L107" s="2">
        <f t="array" ref="L107">SUMIF($B$9:$B$60,"100522",$L$9:$L$60)</f>
        <v>31610.99</v>
      </c>
    </row>
    <row r="108" spans="1:12" s="5" customFormat="1" x14ac:dyDescent="0.25">
      <c r="B108" s="13"/>
      <c r="C108" s="15"/>
      <c r="D108" s="15"/>
      <c r="E108" s="9" t="s">
        <v>67</v>
      </c>
      <c r="F108" s="6"/>
      <c r="G108" s="9"/>
      <c r="I108" s="1">
        <f t="array" ref="I108">SUMIF($B$9:$B$60,"100531",$I$9:$I$60)</f>
        <v>245.38</v>
      </c>
      <c r="J108" s="1">
        <f t="array" ref="J108">SUMIF($B$9:$B$60,"100531",$J$9:$J$60)</f>
        <v>21.32</v>
      </c>
      <c r="K108" s="1">
        <f t="array" ref="K108">SUMIF($B$9:$B$60,"100531",$K$9:$K$60)</f>
        <v>224.06</v>
      </c>
      <c r="L108" s="2">
        <f t="array" ref="L108">SUMIF($B$9:$B$60,"100531",$L$9:$L$60)</f>
        <v>6657.58</v>
      </c>
    </row>
    <row r="109" spans="1:12" s="5" customFormat="1" x14ac:dyDescent="0.25">
      <c r="B109" s="13"/>
      <c r="C109" s="15"/>
      <c r="D109" s="15"/>
      <c r="E109" s="9" t="s">
        <v>68</v>
      </c>
      <c r="F109" s="6"/>
      <c r="G109" s="9"/>
      <c r="I109" s="1">
        <f t="array" ref="I109">SUMIF($B$9:$B$60,"100532",$I$9:$I$60)</f>
        <v>676.72</v>
      </c>
      <c r="J109" s="1">
        <f t="array" ref="J109">SUMIF($B$9:$B$60,"100532",$J$9:$J$60)</f>
        <v>134</v>
      </c>
      <c r="K109" s="1">
        <f t="array" ref="K109">SUMIF($B$9:$B$60,"100532",$K$9:$K$60)</f>
        <v>542.72</v>
      </c>
      <c r="L109" s="2">
        <f t="array" ref="L109">SUMIF($B$9:$B$60,"100532",$L$9:$L$60)</f>
        <v>30811.64</v>
      </c>
    </row>
    <row r="110" spans="1:12" s="5" customFormat="1" x14ac:dyDescent="0.25">
      <c r="B110" s="13"/>
      <c r="C110" s="15"/>
      <c r="D110" s="15"/>
      <c r="E110" s="9" t="s">
        <v>69</v>
      </c>
      <c r="F110" s="6"/>
      <c r="G110" s="9"/>
      <c r="I110" s="1">
        <f t="array" ref="I110">SUMIF($B$9:$B$60,"100533",$I$9:$I$60)</f>
        <v>895.92000000000007</v>
      </c>
      <c r="J110" s="1">
        <f t="array" ref="J110">SUMIF($B$9:$B$60,"100533",$J$9:$J$60)</f>
        <v>169.45</v>
      </c>
      <c r="K110" s="1">
        <f>SUMIF($B$9:$B$60,"100533",$K$9:$K$60)</f>
        <v>726.47</v>
      </c>
      <c r="L110" s="2">
        <f t="array" ref="L110">SUMIF($B$9:$B$60,"100533",$L$9:$L$60)</f>
        <v>10905.06</v>
      </c>
    </row>
    <row r="111" spans="1:12" s="5" customFormat="1" x14ac:dyDescent="0.25">
      <c r="B111" s="13"/>
      <c r="C111" s="15"/>
      <c r="D111" s="15"/>
      <c r="E111" s="9" t="s">
        <v>70</v>
      </c>
      <c r="F111" s="6"/>
      <c r="G111" s="9"/>
      <c r="I111" s="1">
        <f>SUMIF($B$9:$B$60,"100534",$I$9:$I$60)</f>
        <v>0</v>
      </c>
      <c r="J111" s="1">
        <f>SUMIF($B$9:$B$60,"100534",$J$9:$J$60)</f>
        <v>0</v>
      </c>
      <c r="K111" s="1">
        <f>SUMIF($B$9:$B$60,"100534",$K$9:$K$60)</f>
        <v>0</v>
      </c>
      <c r="L111" s="2">
        <f t="array" ref="L111">SUMIF($B$9:$B$60,"100534",$L$9:$L$60)</f>
        <v>0</v>
      </c>
    </row>
    <row r="112" spans="1:12" s="5" customFormat="1" x14ac:dyDescent="0.25">
      <c r="B112" s="13"/>
      <c r="C112" s="15"/>
      <c r="D112" s="15"/>
      <c r="E112" s="9" t="s">
        <v>71</v>
      </c>
      <c r="F112" s="6"/>
      <c r="I112" s="1">
        <f t="array" ref="I112">SUMIF($B$9:$B$60,"100535",$I$9:$I$60)</f>
        <v>0</v>
      </c>
      <c r="J112" s="1">
        <f t="array" ref="J112">SUMIF($B$9:$B$60,"100535",$J$9:$J$60)</f>
        <v>0</v>
      </c>
      <c r="K112" s="1">
        <f>SUMIF($B$9:$B$60,"100535",$K$9:$K$60)</f>
        <v>0</v>
      </c>
      <c r="L112" s="2">
        <f t="array" ref="L112">SUMIF($B$9:$B$60,"100535",$L$9:$L$60)</f>
        <v>0</v>
      </c>
    </row>
    <row r="113" spans="2:12" s="5" customFormat="1" x14ac:dyDescent="0.35">
      <c r="B113" s="13"/>
      <c r="C113" s="15"/>
      <c r="D113" s="15"/>
      <c r="E113" s="9" t="s">
        <v>72</v>
      </c>
      <c r="F113" s="6"/>
      <c r="G113" s="18"/>
      <c r="H113" s="8"/>
      <c r="I113" s="1">
        <f t="array" ref="I113">SUMIF($B$9:$B$60,"100551",$I$9:$I$60)</f>
        <v>0</v>
      </c>
      <c r="J113" s="1">
        <f t="array" ref="J113">SUMIF($B$9:$B$60,"100551",$J$9:$J$60)</f>
        <v>0</v>
      </c>
      <c r="K113" s="1">
        <f t="array" ref="K113">SUMIF($B$9:$B$60,"100551",$K$9:$K$60)</f>
        <v>0</v>
      </c>
      <c r="L113" s="2">
        <f t="array" ref="L113">SUMIF($B$9:$B$60,"100551",$L$9:$L$60)</f>
        <v>0</v>
      </c>
    </row>
    <row r="114" spans="2:12" s="5" customFormat="1" x14ac:dyDescent="0.35">
      <c r="B114" s="13"/>
      <c r="C114" s="15"/>
      <c r="D114" s="15"/>
      <c r="E114" s="9" t="s">
        <v>73</v>
      </c>
      <c r="F114" s="6"/>
      <c r="G114" s="8"/>
      <c r="H114" s="7"/>
      <c r="I114" s="1">
        <f t="array" ref="I114">SUMIF($B$9:$B$60,"100552",$I$9:$I$60)</f>
        <v>2729.9</v>
      </c>
      <c r="J114" s="1">
        <f t="array" ref="J114">SUMIF($B$9:$B$60,"100552",$J$9:$J$60)</f>
        <v>0</v>
      </c>
      <c r="K114" s="1">
        <f t="array" ref="K114">SUMIF($B$9:$B$60,"100552",$K$9:$K$60)</f>
        <v>2729.9</v>
      </c>
      <c r="L114" s="2">
        <f>SUMIF($B$9:$B$60,"100552",$L$9:$L$60)</f>
        <v>0</v>
      </c>
    </row>
    <row r="115" spans="2:12" s="5" customFormat="1" ht="16" thickBot="1" x14ac:dyDescent="0.4">
      <c r="B115" s="13"/>
      <c r="C115" s="15"/>
      <c r="D115" s="77"/>
      <c r="E115" s="9" t="s">
        <v>74</v>
      </c>
      <c r="F115" s="6"/>
      <c r="G115" s="8"/>
      <c r="H115" s="7"/>
      <c r="I115" s="3">
        <f>SUMIF($B$4:$B$60,"100554",$I$4:$I$60)</f>
        <v>166084.77000000002</v>
      </c>
      <c r="J115" s="3">
        <f>SUMIF($B$4:$B$60,"100554",$J$4:$J$60)</f>
        <v>124175.78</v>
      </c>
      <c r="K115" s="3">
        <f>SUMIF($B$4:$B$60,"100554",$K$4:$K$60)</f>
        <v>41908.99</v>
      </c>
      <c r="L115" s="4">
        <f>SUMIF($B$4:$B$60,"100554",$L$4:$L$60)</f>
        <v>1788303.24</v>
      </c>
    </row>
    <row r="116" spans="2:12" s="5" customFormat="1" x14ac:dyDescent="0.35">
      <c r="B116" s="13"/>
      <c r="C116" s="15"/>
      <c r="D116" s="77"/>
      <c r="F116" s="6"/>
      <c r="G116" s="8"/>
      <c r="H116" s="7"/>
      <c r="I116" s="1"/>
      <c r="J116" s="1"/>
      <c r="K116" s="1"/>
      <c r="L116" s="2"/>
    </row>
    <row r="117" spans="2:12" s="5" customFormat="1" x14ac:dyDescent="0.35">
      <c r="B117" s="13"/>
      <c r="C117" s="15"/>
      <c r="D117" s="77"/>
      <c r="E117" s="18" t="s">
        <v>84</v>
      </c>
      <c r="F117" s="6"/>
      <c r="G117" s="8"/>
      <c r="H117" s="8"/>
      <c r="I117" s="1">
        <f>SUM(I101:I115)</f>
        <v>208421.04</v>
      </c>
      <c r="J117" s="1">
        <f>SUM(J101:J115)</f>
        <v>156710.28</v>
      </c>
      <c r="K117" s="1">
        <f>SUM(K101:K115)</f>
        <v>51710.759999999995</v>
      </c>
      <c r="L117" s="2">
        <f>SUM(L101:L115)</f>
        <v>1879639.12</v>
      </c>
    </row>
    <row r="118" spans="2:12" s="5" customFormat="1" x14ac:dyDescent="0.35">
      <c r="B118" s="13"/>
      <c r="C118" s="77"/>
      <c r="D118" s="77"/>
      <c r="E118" s="8"/>
      <c r="F118" s="19"/>
      <c r="G118" s="7"/>
      <c r="H118" s="8"/>
      <c r="I118" s="20"/>
      <c r="J118" s="20"/>
      <c r="K118" s="20"/>
      <c r="L118" s="20"/>
    </row>
    <row r="119" spans="2:12" s="5" customFormat="1" x14ac:dyDescent="0.35">
      <c r="B119" s="13"/>
      <c r="C119" s="77"/>
      <c r="D119" s="77"/>
      <c r="E119" s="8" t="s">
        <v>57</v>
      </c>
      <c r="F119" s="19"/>
      <c r="G119" s="7"/>
      <c r="H119" s="8"/>
      <c r="I119" s="20">
        <f>I62</f>
        <v>208421.04</v>
      </c>
      <c r="J119" s="20">
        <f>J62</f>
        <v>156710.28</v>
      </c>
      <c r="K119" s="20">
        <f>K62</f>
        <v>51710.760000000009</v>
      </c>
      <c r="L119" s="21">
        <f>L62</f>
        <v>1879639.1199999999</v>
      </c>
    </row>
    <row r="120" spans="2:12" s="5" customFormat="1" x14ac:dyDescent="0.35">
      <c r="B120" s="13"/>
      <c r="C120" s="77"/>
      <c r="D120" s="77"/>
      <c r="E120" s="8"/>
      <c r="F120" s="19"/>
      <c r="G120" s="7"/>
      <c r="H120" s="8"/>
      <c r="I120" s="20"/>
      <c r="J120" s="20"/>
      <c r="K120" s="20"/>
      <c r="L120" s="21"/>
    </row>
    <row r="121" spans="2:12" s="5" customFormat="1" x14ac:dyDescent="0.35">
      <c r="B121" s="15"/>
      <c r="C121" s="77"/>
      <c r="D121" s="77"/>
      <c r="E121" s="8" t="s">
        <v>58</v>
      </c>
      <c r="F121" s="19"/>
      <c r="G121" s="7"/>
      <c r="H121" s="8"/>
      <c r="I121" s="20">
        <f>I95</f>
        <v>208421.04000000004</v>
      </c>
      <c r="J121" s="20">
        <f>J95</f>
        <v>156710.28</v>
      </c>
      <c r="K121" s="20">
        <f>K95</f>
        <v>51710.759999999995</v>
      </c>
      <c r="L121" s="21">
        <f>L95</f>
        <v>1879639.1199999999</v>
      </c>
    </row>
    <row r="122" spans="2:12" s="5" customFormat="1" ht="14.25" customHeight="1" x14ac:dyDescent="0.35">
      <c r="B122" s="15"/>
      <c r="C122" s="77"/>
      <c r="D122" s="77"/>
      <c r="E122" s="19"/>
      <c r="F122" s="19"/>
      <c r="G122" s="7"/>
      <c r="H122" s="8"/>
      <c r="I122" s="20"/>
      <c r="J122" s="20"/>
      <c r="K122" s="20"/>
      <c r="L122" s="20"/>
    </row>
    <row r="130" spans="1:1" x14ac:dyDescent="0.35">
      <c r="A130" s="80"/>
    </row>
    <row r="153" spans="1:1" x14ac:dyDescent="0.35">
      <c r="A153" s="80"/>
    </row>
    <row r="154" spans="1:1" x14ac:dyDescent="0.35">
      <c r="A154" s="7" t="s">
        <v>126</v>
      </c>
    </row>
  </sheetData>
  <sortState xmlns:xlrd2="http://schemas.microsoft.com/office/spreadsheetml/2017/richdata2" ref="G91:L125">
    <sortCondition ref="G91:G125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0" max="16383" man="1"/>
    <brk id="62" max="1638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Kulack, Melissa - FS, AK</cp:lastModifiedBy>
  <cp:lastPrinted>2020-11-16T18:04:46Z</cp:lastPrinted>
  <dcterms:created xsi:type="dcterms:W3CDTF">2000-01-21T21:34:04Z</dcterms:created>
  <dcterms:modified xsi:type="dcterms:W3CDTF">2024-10-24T19:36:44Z</dcterms:modified>
</cp:coreProperties>
</file>