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jholley\Documents\temp\2019\10-Oct-2019\Timber\"/>
    </mc:Choice>
  </mc:AlternateContent>
  <xr:revisionPtr revIDLastSave="0" documentId="13_ncr:1_{46B4A13B-0333-4D07-AAF5-1303EEE386E0}" xr6:coauthVersionLast="41" xr6:coauthVersionMax="41" xr10:uidLastSave="{00000000-0000-0000-0000-000000000000}"/>
  <bookViews>
    <workbookView xWindow="2220" yWindow="405" windowWidth="21600" windowHeight="11835" tabRatio="318" xr2:uid="{00000000-000D-0000-FFFF-FFFF00000000}"/>
  </bookViews>
  <sheets>
    <sheet name="Volume Under Contract" sheetId="1" r:id="rId1"/>
  </sheets>
  <definedNames>
    <definedName name="_xlnm.Print_Titles" localSheetId="0">'Volume Under Contract'!$1:$2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50" i="1" l="1"/>
  <c r="J50" i="1"/>
  <c r="I50" i="1"/>
  <c r="K19" i="1"/>
  <c r="K22" i="1"/>
  <c r="L94" i="1"/>
  <c r="L93" i="1"/>
  <c r="K94" i="1"/>
  <c r="J94" i="1"/>
  <c r="J93" i="1"/>
  <c r="I94" i="1"/>
  <c r="I93" i="1"/>
  <c r="K35" i="1" l="1"/>
  <c r="K15" i="1" l="1"/>
  <c r="L66" i="1"/>
  <c r="K66" i="1"/>
  <c r="J66" i="1"/>
  <c r="I66" i="1"/>
  <c r="L64" i="1"/>
  <c r="J64" i="1"/>
  <c r="I64" i="1"/>
  <c r="K32" i="1" l="1"/>
  <c r="K30" i="1" l="1"/>
  <c r="A30" i="1"/>
  <c r="L75" i="1" l="1"/>
  <c r="K75" i="1"/>
  <c r="J75" i="1"/>
  <c r="I75" i="1"/>
  <c r="K29" i="1" l="1"/>
  <c r="A29" i="1"/>
  <c r="K56" i="1" l="1"/>
  <c r="A56" i="1"/>
  <c r="J76" i="1" l="1"/>
  <c r="L116" i="1" l="1"/>
  <c r="L76" i="1"/>
  <c r="K63" i="1"/>
  <c r="I87" i="1"/>
  <c r="L67" i="1"/>
  <c r="L65" i="1"/>
  <c r="L63" i="1"/>
  <c r="L62" i="1"/>
  <c r="J62" i="1"/>
  <c r="I92" i="1"/>
  <c r="I89" i="1"/>
  <c r="I90" i="1"/>
  <c r="I73" i="1"/>
  <c r="I88" i="1"/>
  <c r="I86" i="1"/>
  <c r="I85" i="1"/>
  <c r="I84" i="1"/>
  <c r="I83" i="1"/>
  <c r="I82" i="1"/>
  <c r="I81" i="1"/>
  <c r="I80" i="1"/>
  <c r="I79" i="1"/>
  <c r="I78" i="1"/>
  <c r="I77" i="1"/>
  <c r="I76" i="1"/>
  <c r="I74" i="1"/>
  <c r="I72" i="1"/>
  <c r="I71" i="1"/>
  <c r="I70" i="1"/>
  <c r="I69" i="1"/>
  <c r="I68" i="1"/>
  <c r="I67" i="1"/>
  <c r="J67" i="1"/>
  <c r="K65" i="1"/>
  <c r="J65" i="1"/>
  <c r="I65" i="1"/>
  <c r="J63" i="1"/>
  <c r="K62" i="1"/>
  <c r="J116" i="1"/>
  <c r="I116" i="1"/>
  <c r="I63" i="1"/>
  <c r="I62" i="1"/>
  <c r="K45" i="1" l="1"/>
  <c r="K16" i="1" l="1"/>
  <c r="K23" i="1"/>
  <c r="K76" i="1" s="1"/>
  <c r="K55" i="1"/>
  <c r="K46" i="1" l="1"/>
  <c r="K93" i="1" s="1"/>
  <c r="K28" i="1" l="1"/>
  <c r="K43" i="1"/>
  <c r="K34" i="1" l="1"/>
  <c r="K116" i="1" s="1"/>
  <c r="K33" i="1" l="1"/>
  <c r="K13" i="1" l="1"/>
  <c r="L89" i="1"/>
  <c r="L88" i="1"/>
  <c r="K89" i="1"/>
  <c r="K88" i="1"/>
  <c r="J89" i="1"/>
  <c r="J88" i="1"/>
  <c r="L78" i="1"/>
  <c r="K78" i="1"/>
  <c r="J78" i="1"/>
  <c r="K64" i="1" l="1"/>
  <c r="K50" i="1"/>
  <c r="L61" i="1"/>
  <c r="K61" i="1"/>
  <c r="J61" i="1"/>
  <c r="I61" i="1"/>
  <c r="L87" i="1"/>
  <c r="L86" i="1"/>
  <c r="K87" i="1"/>
  <c r="K86" i="1"/>
  <c r="J87" i="1"/>
  <c r="J86" i="1"/>
  <c r="L71" i="1"/>
  <c r="K71" i="1"/>
  <c r="J71" i="1"/>
  <c r="H50" i="1" l="1"/>
  <c r="C50" i="1"/>
  <c r="A37" i="1"/>
  <c r="A13" i="1" l="1"/>
  <c r="A14" i="1"/>
  <c r="A17" i="1"/>
  <c r="A18" i="1"/>
  <c r="A28" i="1"/>
  <c r="A54" i="1" l="1"/>
  <c r="A33" i="1"/>
  <c r="A34" i="1"/>
  <c r="A35" i="1"/>
  <c r="A41" i="1"/>
  <c r="A42" i="1"/>
  <c r="A43" i="1"/>
  <c r="A44" i="1"/>
  <c r="A46" i="1"/>
  <c r="L85" i="1" l="1"/>
  <c r="K85" i="1"/>
  <c r="J85" i="1"/>
  <c r="L84" i="1" l="1"/>
  <c r="K84" i="1"/>
  <c r="J84" i="1"/>
  <c r="L58" i="1" l="1"/>
  <c r="J58" i="1"/>
  <c r="I58" i="1"/>
  <c r="K67" i="1"/>
  <c r="K54" i="1" l="1"/>
  <c r="C58" i="1" l="1"/>
  <c r="H58" i="1"/>
  <c r="K58" i="1"/>
  <c r="L80" i="1" l="1"/>
  <c r="K80" i="1"/>
  <c r="J80" i="1"/>
  <c r="L69" i="1"/>
  <c r="K69" i="1"/>
  <c r="J69" i="1"/>
  <c r="L79" i="1"/>
  <c r="K79" i="1"/>
  <c r="J79" i="1"/>
  <c r="L70" i="1" l="1"/>
  <c r="K70" i="1"/>
  <c r="J70" i="1"/>
  <c r="J60" i="1" l="1"/>
  <c r="K60" i="1"/>
  <c r="L60" i="1"/>
  <c r="I60" i="1"/>
  <c r="H60" i="1"/>
  <c r="C60" i="1"/>
  <c r="L90" i="1" l="1"/>
  <c r="K90" i="1"/>
  <c r="J90" i="1"/>
  <c r="L83" i="1" l="1"/>
  <c r="K83" i="1"/>
  <c r="J83" i="1"/>
  <c r="L81" i="1" l="1"/>
  <c r="K81" i="1"/>
  <c r="J81" i="1"/>
  <c r="J72" i="1" l="1"/>
  <c r="K72" i="1"/>
  <c r="L72" i="1"/>
  <c r="J73" i="1"/>
  <c r="K73" i="1"/>
  <c r="L73" i="1"/>
  <c r="J74" i="1" a="1"/>
  <c r="J74" i="1" s="1"/>
  <c r="K74" i="1" a="1"/>
  <c r="K74" i="1" s="1"/>
  <c r="L74" i="1" a="1"/>
  <c r="L74" i="1" s="1"/>
  <c r="J77" i="1"/>
  <c r="K77" i="1"/>
  <c r="L77" i="1"/>
  <c r="J82" i="1" a="1"/>
  <c r="J82" i="1" s="1"/>
  <c r="K82" i="1" a="1"/>
  <c r="K82" i="1" s="1"/>
  <c r="L82" i="1" a="1"/>
  <c r="L82" i="1" s="1"/>
  <c r="J91" i="1"/>
  <c r="K91" i="1"/>
  <c r="L91" i="1"/>
  <c r="J92" i="1" a="1"/>
  <c r="J92" i="1" s="1"/>
  <c r="K92" i="1" a="1"/>
  <c r="K92" i="1" s="1"/>
  <c r="L92" i="1" a="1"/>
  <c r="L92" i="1" s="1"/>
  <c r="L68" i="1" l="1"/>
  <c r="K68" i="1"/>
  <c r="J68" i="1"/>
  <c r="L96" i="1" l="1"/>
  <c r="K96" i="1"/>
  <c r="J96" i="1"/>
  <c r="I96" i="1"/>
  <c r="K113" i="1" l="1"/>
  <c r="K112" i="1"/>
  <c r="K111" i="1"/>
  <c r="K103" i="1"/>
  <c r="K102" i="1"/>
  <c r="L115" i="1"/>
  <c r="K115" i="1" a="1"/>
  <c r="K115" i="1" s="1"/>
  <c r="J115" i="1" a="1"/>
  <c r="J115" i="1" s="1"/>
  <c r="I115" i="1" a="1"/>
  <c r="I115" i="1" s="1"/>
  <c r="L114" i="1" a="1"/>
  <c r="L114" i="1" s="1"/>
  <c r="K114" i="1" a="1"/>
  <c r="K114" i="1" s="1"/>
  <c r="J114" i="1" a="1"/>
  <c r="J114" i="1" s="1"/>
  <c r="I114" i="1" a="1"/>
  <c r="I114" i="1" s="1"/>
  <c r="L113" i="1" a="1"/>
  <c r="L113" i="1" s="1"/>
  <c r="J113" i="1" a="1"/>
  <c r="J113" i="1" s="1"/>
  <c r="I113" i="1" a="1"/>
  <c r="I113" i="1" s="1"/>
  <c r="L112" i="1" a="1"/>
  <c r="L112" i="1" s="1"/>
  <c r="J112" i="1"/>
  <c r="I112" i="1"/>
  <c r="L111" i="1" a="1"/>
  <c r="L111" i="1" s="1"/>
  <c r="J111" i="1" a="1"/>
  <c r="J111" i="1" s="1"/>
  <c r="I111" i="1" a="1"/>
  <c r="I111" i="1" s="1"/>
  <c r="L110" i="1" a="1"/>
  <c r="L110" i="1" s="1"/>
  <c r="K110" i="1" a="1"/>
  <c r="K110" i="1" s="1"/>
  <c r="J110" i="1" a="1"/>
  <c r="J110" i="1" s="1"/>
  <c r="I110" i="1" a="1"/>
  <c r="I110" i="1" s="1"/>
  <c r="L109" i="1" a="1"/>
  <c r="L109" i="1" s="1"/>
  <c r="K109" i="1" a="1"/>
  <c r="K109" i="1" s="1"/>
  <c r="J109" i="1" a="1"/>
  <c r="J109" i="1" s="1"/>
  <c r="I109" i="1" a="1"/>
  <c r="I109" i="1" s="1"/>
  <c r="L108" i="1" a="1"/>
  <c r="L108" i="1" s="1"/>
  <c r="K108" i="1" a="1"/>
  <c r="K108" i="1" s="1"/>
  <c r="J108" i="1" a="1"/>
  <c r="J108" i="1" s="1"/>
  <c r="I108" i="1" a="1"/>
  <c r="I108" i="1" s="1"/>
  <c r="L107" i="1" a="1"/>
  <c r="L107" i="1" s="1"/>
  <c r="K107" i="1" a="1"/>
  <c r="K107" i="1" s="1"/>
  <c r="J107" i="1" a="1"/>
  <c r="J107" i="1" s="1"/>
  <c r="I107" i="1" a="1"/>
  <c r="I107" i="1" s="1"/>
  <c r="L104" i="1" a="1"/>
  <c r="L104" i="1" s="1"/>
  <c r="K104" i="1" a="1"/>
  <c r="J104" i="1" a="1"/>
  <c r="J104" i="1" s="1"/>
  <c r="I104" i="1" a="1"/>
  <c r="I104" i="1" s="1"/>
  <c r="L103" i="1" a="1"/>
  <c r="L103" i="1" s="1"/>
  <c r="J103" i="1" a="1"/>
  <c r="J103" i="1" s="1"/>
  <c r="I103" i="1" a="1"/>
  <c r="I103" i="1" s="1"/>
  <c r="L102" i="1"/>
  <c r="J102" i="1"/>
  <c r="I102" i="1"/>
  <c r="L120" i="1"/>
  <c r="I120" i="1"/>
  <c r="I118" i="1" l="1"/>
  <c r="J122" i="1"/>
  <c r="L122" i="1"/>
  <c r="I122" i="1"/>
  <c r="K120" i="1"/>
  <c r="K104" i="1"/>
  <c r="K118" i="1" s="1"/>
  <c r="J120" i="1"/>
  <c r="L118" i="1"/>
  <c r="J118" i="1"/>
  <c r="K122" i="1" l="1"/>
</calcChain>
</file>

<file path=xl/sharedStrings.xml><?xml version="1.0" encoding="utf-8"?>
<sst xmlns="http://schemas.openxmlformats.org/spreadsheetml/2006/main" count="295" uniqueCount="189">
  <si>
    <t>Chugach National Forest</t>
  </si>
  <si>
    <t>Bid Date</t>
  </si>
  <si>
    <t>Porter Lumber</t>
  </si>
  <si>
    <t>Tongass National Forest</t>
  </si>
  <si>
    <t>Alcan Forest Products LLP</t>
  </si>
  <si>
    <t>Icy Straits Lumber &amp; Mill</t>
  </si>
  <si>
    <t>Yakutat</t>
  </si>
  <si>
    <t>Thorne Bay</t>
  </si>
  <si>
    <t>Hoonah</t>
  </si>
  <si>
    <t>Craig</t>
  </si>
  <si>
    <t>Ketchikan</t>
  </si>
  <si>
    <t>Juneau</t>
  </si>
  <si>
    <t>Petersburg</t>
  </si>
  <si>
    <t>Wrangell</t>
  </si>
  <si>
    <t>Seward</t>
  </si>
  <si>
    <t>Termination Date</t>
  </si>
  <si>
    <t>Viking Lumber Company</t>
  </si>
  <si>
    <t>Volume Cut (MBF)</t>
  </si>
  <si>
    <t>Current Qty Est (MBF)</t>
  </si>
  <si>
    <t>Remaining Vol (MBF)</t>
  </si>
  <si>
    <t>Glacier</t>
  </si>
  <si>
    <t>Cordova</t>
  </si>
  <si>
    <t>Sitka</t>
  </si>
  <si>
    <t>Admirality</t>
  </si>
  <si>
    <t>Unit</t>
  </si>
  <si>
    <t>Lookup Table</t>
  </si>
  <si>
    <t>Sale Name (Not in Default)</t>
  </si>
  <si>
    <t>Purchaser</t>
  </si>
  <si>
    <t>Remaining Value ($)</t>
  </si>
  <si>
    <t>Hecla Greens Creek Mining</t>
  </si>
  <si>
    <t>DOT/PF State of Alaska</t>
  </si>
  <si>
    <t>002562</t>
  </si>
  <si>
    <t>Henry Drechnowicz</t>
  </si>
  <si>
    <t>Slake</t>
  </si>
  <si>
    <t>Frenchie Stewardship</t>
  </si>
  <si>
    <t>Jerod Cook</t>
  </si>
  <si>
    <t>062649</t>
  </si>
  <si>
    <t>062433</t>
  </si>
  <si>
    <t>Ralph Dean Blankenship</t>
  </si>
  <si>
    <t>TM Construction, Inc
TM Construction, Inc</t>
  </si>
  <si>
    <t>City &amp; Borough of Sitka</t>
  </si>
  <si>
    <t>Turnagain Quarry Settlement</t>
  </si>
  <si>
    <t>063472</t>
  </si>
  <si>
    <t>Big Thorne Stewardship</t>
  </si>
  <si>
    <t>Greens Creek Tailing</t>
  </si>
  <si>
    <t>063662</t>
  </si>
  <si>
    <t>Last Stand</t>
  </si>
  <si>
    <t>063688</t>
  </si>
  <si>
    <t>Micheal B Allen Jr</t>
  </si>
  <si>
    <t>Alaska Musicwood Industries</t>
  </si>
  <si>
    <t>6T</t>
  </si>
  <si>
    <t>K &amp; D Lumber</t>
  </si>
  <si>
    <t>Buck Rush Reoffer</t>
  </si>
  <si>
    <t>064462</t>
  </si>
  <si>
    <t>Alcan Timber Inc</t>
  </si>
  <si>
    <t>Big Buck</t>
  </si>
  <si>
    <t>Sand Pit #2 Settlement</t>
  </si>
  <si>
    <t>064520</t>
  </si>
  <si>
    <t>T.L.C. Management, LLC</t>
  </si>
  <si>
    <t>Tightline</t>
  </si>
  <si>
    <t>064579</t>
  </si>
  <si>
    <t>064561</t>
  </si>
  <si>
    <t>3T</t>
  </si>
  <si>
    <t>Alaska Region Check</t>
  </si>
  <si>
    <t>Purchaser Check</t>
  </si>
  <si>
    <t>Western Gold Cedar Products</t>
  </si>
  <si>
    <t>Purchaser Summary</t>
  </si>
  <si>
    <t>Alaska Tonewood LLC</t>
  </si>
  <si>
    <t>Glacier - 10</t>
  </si>
  <si>
    <t>Cordova - 20</t>
  </si>
  <si>
    <t>Seward - 30</t>
  </si>
  <si>
    <t>Petersburg - 21</t>
  </si>
  <si>
    <t>Wrangell - 22</t>
  </si>
  <si>
    <t>Sitka - 31</t>
  </si>
  <si>
    <t>Hoonah - 32</t>
  </si>
  <si>
    <t>Juneau - 33</t>
  </si>
  <si>
    <t>Admirality - 34</t>
  </si>
  <si>
    <t>Yakutat - 35</t>
  </si>
  <si>
    <t>Craig - 51</t>
  </si>
  <si>
    <t>Ketchikan - 52</t>
  </si>
  <si>
    <t>Thorne Bay - 54</t>
  </si>
  <si>
    <t>Tongass National Forest Sales</t>
  </si>
  <si>
    <t>Chugach National Forest Sales</t>
  </si>
  <si>
    <t>Alaska Region Summary</t>
  </si>
  <si>
    <t>Cornerstone Excavation Serv LLC</t>
  </si>
  <si>
    <t>Luther J. Coby</t>
  </si>
  <si>
    <t>Three Sisters</t>
  </si>
  <si>
    <t>Southeast Alaska Power Agency</t>
  </si>
  <si>
    <t>064900</t>
  </si>
  <si>
    <t>Contract ID</t>
  </si>
  <si>
    <t>Contract Form</t>
  </si>
  <si>
    <t>Ranger Districts</t>
  </si>
  <si>
    <t>Ranger District Check</t>
  </si>
  <si>
    <t>Ranger District</t>
  </si>
  <si>
    <t>RayRay</t>
  </si>
  <si>
    <t>Tongass NF Sales Count:</t>
  </si>
  <si>
    <t>Tongass NF Sales Count With Remaining Volume:</t>
  </si>
  <si>
    <t>Chugach NF Sales Count:</t>
  </si>
  <si>
    <t>Chugach NF Sales Count With Remaining  Volume:</t>
  </si>
  <si>
    <t>Region 10 Sales Count With Remaining  Volume:</t>
  </si>
  <si>
    <t>Region 10 Sales Count:</t>
  </si>
  <si>
    <t>Andrews and Sons LLC</t>
  </si>
  <si>
    <t>Ronald S Wensel</t>
  </si>
  <si>
    <t>Snakey</t>
  </si>
  <si>
    <t>064983</t>
  </si>
  <si>
    <t>Spencer F Pitcher</t>
  </si>
  <si>
    <t>State of Alaska</t>
  </si>
  <si>
    <t>GNA Kosciusko Young Growth</t>
  </si>
  <si>
    <t>065014</t>
  </si>
  <si>
    <t>063639</t>
  </si>
  <si>
    <t>065162</t>
  </si>
  <si>
    <t>065071</t>
  </si>
  <si>
    <t>Sterling Chew</t>
  </si>
  <si>
    <t>Combo</t>
  </si>
  <si>
    <t>065055</t>
  </si>
  <si>
    <t>Microsale 254</t>
  </si>
  <si>
    <t>065063</t>
  </si>
  <si>
    <t>Microsale 243</t>
  </si>
  <si>
    <t>065089</t>
  </si>
  <si>
    <t>Microsale 257</t>
  </si>
  <si>
    <t>065097</t>
  </si>
  <si>
    <t>Rough Luck</t>
  </si>
  <si>
    <t>065139</t>
  </si>
  <si>
    <t>Angel Wings</t>
  </si>
  <si>
    <t>065154</t>
  </si>
  <si>
    <t>Microsale 258</t>
  </si>
  <si>
    <t>CRIB</t>
  </si>
  <si>
    <t>GSTT</t>
  </si>
  <si>
    <t>Microsale 262</t>
  </si>
  <si>
    <t>The Nature Conservancy</t>
  </si>
  <si>
    <t>Staney Cointent Stew. Agree</t>
  </si>
  <si>
    <t>065170</t>
  </si>
  <si>
    <t>065188</t>
  </si>
  <si>
    <t>Balls Lake</t>
  </si>
  <si>
    <t>065121</t>
  </si>
  <si>
    <t>Ernie Eads</t>
  </si>
  <si>
    <t>Alaska Milling &amp; Fabrication LLC</t>
  </si>
  <si>
    <t>065196</t>
  </si>
  <si>
    <t>065204</t>
  </si>
  <si>
    <t>21T</t>
  </si>
  <si>
    <t>JK Forest Products LLC</t>
  </si>
  <si>
    <t>North John</t>
  </si>
  <si>
    <t>065212</t>
  </si>
  <si>
    <t>Microsale 241</t>
  </si>
  <si>
    <t>065220</t>
  </si>
  <si>
    <t>Microsale 261</t>
  </si>
  <si>
    <t>065238</t>
  </si>
  <si>
    <t>South Snakey</t>
  </si>
  <si>
    <t>Devils East Comm FW</t>
  </si>
  <si>
    <t>Jerry Baker</t>
  </si>
  <si>
    <t>065246</t>
  </si>
  <si>
    <t>4</t>
  </si>
  <si>
    <t>Microsale 263</t>
  </si>
  <si>
    <t>002752</t>
  </si>
  <si>
    <t xml:space="preserve"> </t>
  </si>
  <si>
    <t>065253</t>
  </si>
  <si>
    <t>GNA Vallenar Young Growth</t>
  </si>
  <si>
    <t>002760</t>
  </si>
  <si>
    <t>Tsuga Fuelwood</t>
  </si>
  <si>
    <t>065261</t>
  </si>
  <si>
    <t>Little Honker</t>
  </si>
  <si>
    <t>High Tower</t>
  </si>
  <si>
    <t>Microsale 266</t>
  </si>
  <si>
    <t>Microsale 265</t>
  </si>
  <si>
    <t>Microsale 264</t>
  </si>
  <si>
    <t>James Stevens</t>
  </si>
  <si>
    <t>Snakey 70A</t>
  </si>
  <si>
    <t>Snakey 70B</t>
  </si>
  <si>
    <t>065329</t>
  </si>
  <si>
    <t>065287</t>
  </si>
  <si>
    <t>065295</t>
  </si>
  <si>
    <t>065303</t>
  </si>
  <si>
    <t>065311</t>
  </si>
  <si>
    <t>065337</t>
  </si>
  <si>
    <t>Snakey 70C</t>
  </si>
  <si>
    <t>065279</t>
  </si>
  <si>
    <t>Andrew Cowan</t>
  </si>
  <si>
    <t>065345</t>
  </si>
  <si>
    <t>MISS #1</t>
  </si>
  <si>
    <t>065352</t>
  </si>
  <si>
    <t>Microsale 39</t>
  </si>
  <si>
    <t>William Kaufman</t>
  </si>
  <si>
    <t>065378</t>
  </si>
  <si>
    <t>MISS #2</t>
  </si>
  <si>
    <t>065360</t>
  </si>
  <si>
    <t>Microsale 268</t>
  </si>
  <si>
    <t>U.S. Forest Service, Alaska Region, Remaining Timber Sales Volumes and Values on September 30, 2019</t>
  </si>
  <si>
    <t>065386</t>
  </si>
  <si>
    <t>Microsale 267 Reoffer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</si>
</sst>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/d/yyyy;@"/>
  </numFmts>
  <fonts count="7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</borders>
  <cellStyleXfs count="617">
    <xf numFmtId="0" fontId="0" fillId="0" borderId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9" fillId="26" borderId="0" applyNumberFormat="0" applyBorder="0" applyAlignment="0" applyProtection="0"/>
    <xf numFmtId="0" fontId="40" fillId="27" borderId="2" applyNumberFormat="0" applyAlignment="0" applyProtection="0"/>
    <xf numFmtId="0" fontId="41" fillId="28" borderId="3" applyNumberFormat="0" applyAlignment="0" applyProtection="0"/>
    <xf numFmtId="0" fontId="42" fillId="0" borderId="0" applyNumberFormat="0" applyFill="0" applyBorder="0" applyAlignment="0" applyProtection="0"/>
    <xf numFmtId="0" fontId="43" fillId="29" borderId="0" applyNumberFormat="0" applyBorder="0" applyAlignment="0" applyProtection="0"/>
    <xf numFmtId="0" fontId="44" fillId="0" borderId="4" applyNumberFormat="0" applyFill="0" applyAlignment="0" applyProtection="0"/>
    <xf numFmtId="0" fontId="45" fillId="0" borderId="5" applyNumberFormat="0" applyFill="0" applyAlignment="0" applyProtection="0"/>
    <xf numFmtId="0" fontId="46" fillId="0" borderId="6" applyNumberFormat="0" applyFill="0" applyAlignment="0" applyProtection="0"/>
    <xf numFmtId="0" fontId="46" fillId="0" borderId="0" applyNumberFormat="0" applyFill="0" applyBorder="0" applyAlignment="0" applyProtection="0"/>
    <xf numFmtId="0" fontId="47" fillId="30" borderId="2" applyNumberFormat="0" applyAlignment="0" applyProtection="0"/>
    <xf numFmtId="0" fontId="48" fillId="0" borderId="7" applyNumberFormat="0" applyFill="0" applyAlignment="0" applyProtection="0"/>
    <xf numFmtId="0" fontId="49" fillId="31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50" fillId="27" borderId="9" applyNumberFormat="0" applyAlignment="0" applyProtection="0"/>
    <xf numFmtId="0" fontId="51" fillId="0" borderId="0" applyNumberFormat="0" applyFill="0" applyBorder="0" applyAlignment="0" applyProtection="0"/>
    <xf numFmtId="0" fontId="52" fillId="0" borderId="10" applyNumberFormat="0" applyFill="0" applyAlignment="0" applyProtection="0"/>
    <xf numFmtId="0" fontId="53" fillId="0" borderId="0" applyNumberFormat="0" applyFill="0" applyBorder="0" applyAlignment="0" applyProtection="0"/>
    <xf numFmtId="0" fontId="34" fillId="0" borderId="0"/>
    <xf numFmtId="0" fontId="34" fillId="32" borderId="8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3" fillId="0" borderId="0"/>
    <xf numFmtId="0" fontId="33" fillId="32" borderId="8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2" fillId="0" borderId="0"/>
    <xf numFmtId="0" fontId="32" fillId="32" borderId="8" applyNumberFormat="0" applyFont="0" applyAlignment="0" applyProtection="0"/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2" fillId="3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1" fillId="0" borderId="0"/>
    <xf numFmtId="0" fontId="31" fillId="32" borderId="8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0" fillId="0" borderId="0"/>
    <xf numFmtId="0" fontId="30" fillId="32" borderId="8" applyNumberFormat="0" applyFont="0" applyAlignment="0" applyProtection="0"/>
    <xf numFmtId="0" fontId="30" fillId="2" borderId="0" applyNumberFormat="0" applyBorder="0" applyAlignment="0" applyProtection="0"/>
    <xf numFmtId="0" fontId="30" fillId="8" borderId="0" applyNumberFormat="0" applyBorder="0" applyAlignment="0" applyProtection="0"/>
    <xf numFmtId="0" fontId="30" fillId="3" borderId="0" applyNumberFormat="0" applyBorder="0" applyAlignment="0" applyProtection="0"/>
    <xf numFmtId="0" fontId="30" fillId="9" borderId="0" applyNumberFormat="0" applyBorder="0" applyAlignment="0" applyProtection="0"/>
    <xf numFmtId="0" fontId="30" fillId="4" borderId="0" applyNumberFormat="0" applyBorder="0" applyAlignment="0" applyProtection="0"/>
    <xf numFmtId="0" fontId="30" fillId="10" borderId="0" applyNumberFormat="0" applyBorder="0" applyAlignment="0" applyProtection="0"/>
    <xf numFmtId="0" fontId="30" fillId="5" borderId="0" applyNumberFormat="0" applyBorder="0" applyAlignment="0" applyProtection="0"/>
    <xf numFmtId="0" fontId="30" fillId="11" borderId="0" applyNumberFormat="0" applyBorder="0" applyAlignment="0" applyProtection="0"/>
    <xf numFmtId="0" fontId="30" fillId="6" borderId="0" applyNumberFormat="0" applyBorder="0" applyAlignment="0" applyProtection="0"/>
    <xf numFmtId="0" fontId="30" fillId="12" borderId="0" applyNumberFormat="0" applyBorder="0" applyAlignment="0" applyProtection="0"/>
    <xf numFmtId="0" fontId="30" fillId="7" borderId="0" applyNumberFormat="0" applyBorder="0" applyAlignment="0" applyProtection="0"/>
    <xf numFmtId="0" fontId="30" fillId="13" borderId="0" applyNumberFormat="0" applyBorder="0" applyAlignment="0" applyProtection="0"/>
    <xf numFmtId="0" fontId="29" fillId="0" borderId="0"/>
    <xf numFmtId="0" fontId="29" fillId="32" borderId="8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8" fillId="0" borderId="0"/>
    <xf numFmtId="0" fontId="28" fillId="32" borderId="8" applyNumberFormat="0" applyFont="0" applyAlignment="0" applyProtection="0"/>
    <xf numFmtId="0" fontId="28" fillId="2" borderId="0" applyNumberFormat="0" applyBorder="0" applyAlignment="0" applyProtection="0"/>
    <xf numFmtId="0" fontId="28" fillId="8" borderId="0" applyNumberFormat="0" applyBorder="0" applyAlignment="0" applyProtection="0"/>
    <xf numFmtId="0" fontId="28" fillId="3" borderId="0" applyNumberFormat="0" applyBorder="0" applyAlignment="0" applyProtection="0"/>
    <xf numFmtId="0" fontId="28" fillId="9" borderId="0" applyNumberFormat="0" applyBorder="0" applyAlignment="0" applyProtection="0"/>
    <xf numFmtId="0" fontId="28" fillId="4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1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7" borderId="0" applyNumberFormat="0" applyBorder="0" applyAlignment="0" applyProtection="0"/>
    <xf numFmtId="0" fontId="28" fillId="13" borderId="0" applyNumberFormat="0" applyBorder="0" applyAlignment="0" applyProtection="0"/>
    <xf numFmtId="0" fontId="27" fillId="0" borderId="0"/>
    <xf numFmtId="0" fontId="27" fillId="32" borderId="8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6" fillId="0" borderId="0"/>
    <xf numFmtId="0" fontId="26" fillId="32" borderId="8" applyNumberFormat="0" applyFont="0" applyAlignment="0" applyProtection="0"/>
    <xf numFmtId="0" fontId="26" fillId="2" borderId="0" applyNumberFormat="0" applyBorder="0" applyAlignment="0" applyProtection="0"/>
    <xf numFmtId="0" fontId="26" fillId="8" borderId="0" applyNumberFormat="0" applyBorder="0" applyAlignment="0" applyProtection="0"/>
    <xf numFmtId="0" fontId="2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4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5" fillId="0" borderId="0"/>
    <xf numFmtId="0" fontId="25" fillId="32" borderId="8" applyNumberFormat="0" applyFont="0" applyAlignment="0" applyProtection="0"/>
    <xf numFmtId="0" fontId="25" fillId="2" borderId="0" applyNumberFormat="0" applyBorder="0" applyAlignment="0" applyProtection="0"/>
    <xf numFmtId="0" fontId="25" fillId="8" borderId="0" applyNumberFormat="0" applyBorder="0" applyAlignment="0" applyProtection="0"/>
    <xf numFmtId="0" fontId="25" fillId="3" borderId="0" applyNumberFormat="0" applyBorder="0" applyAlignment="0" applyProtection="0"/>
    <xf numFmtId="0" fontId="25" fillId="9" borderId="0" applyNumberFormat="0" applyBorder="0" applyAlignment="0" applyProtection="0"/>
    <xf numFmtId="0" fontId="25" fillId="4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4" fillId="0" borderId="0"/>
    <xf numFmtId="0" fontId="56" fillId="0" borderId="4" applyNumberFormat="0" applyFill="0" applyAlignment="0" applyProtection="0"/>
    <xf numFmtId="0" fontId="57" fillId="0" borderId="5" applyNumberFormat="0" applyFill="0" applyAlignment="0" applyProtection="0"/>
    <xf numFmtId="0" fontId="58" fillId="0" borderId="6" applyNumberFormat="0" applyFill="0" applyAlignment="0" applyProtection="0"/>
    <xf numFmtId="0" fontId="58" fillId="0" borderId="0" applyNumberFormat="0" applyFill="0" applyBorder="0" applyAlignment="0" applyProtection="0"/>
    <xf numFmtId="0" fontId="59" fillId="29" borderId="0" applyNumberFormat="0" applyBorder="0" applyAlignment="0" applyProtection="0"/>
    <xf numFmtId="0" fontId="60" fillId="26" borderId="0" applyNumberFormat="0" applyBorder="0" applyAlignment="0" applyProtection="0"/>
    <xf numFmtId="0" fontId="61" fillId="31" borderId="0" applyNumberFormat="0" applyBorder="0" applyAlignment="0" applyProtection="0"/>
    <xf numFmtId="0" fontId="62" fillId="30" borderId="2" applyNumberFormat="0" applyAlignment="0" applyProtection="0"/>
    <xf numFmtId="0" fontId="63" fillId="27" borderId="9" applyNumberFormat="0" applyAlignment="0" applyProtection="0"/>
    <xf numFmtId="0" fontId="64" fillId="27" borderId="2" applyNumberFormat="0" applyAlignment="0" applyProtection="0"/>
    <xf numFmtId="0" fontId="65" fillId="0" borderId="7" applyNumberFormat="0" applyFill="0" applyAlignment="0" applyProtection="0"/>
    <xf numFmtId="0" fontId="66" fillId="28" borderId="3" applyNumberFormat="0" applyAlignment="0" applyProtection="0"/>
    <xf numFmtId="0" fontId="67" fillId="0" borderId="0" applyNumberFormat="0" applyFill="0" applyBorder="0" applyAlignment="0" applyProtection="0"/>
    <xf numFmtId="0" fontId="24" fillId="32" borderId="8" applyNumberFormat="0" applyFont="0" applyAlignment="0" applyProtection="0"/>
    <xf numFmtId="0" fontId="68" fillId="0" borderId="0" applyNumberFormat="0" applyFill="0" applyBorder="0" applyAlignment="0" applyProtection="0"/>
    <xf numFmtId="0" fontId="69" fillId="0" borderId="10" applyNumberFormat="0" applyFill="0" applyAlignment="0" applyProtection="0"/>
    <xf numFmtId="0" fontId="70" fillId="20" borderId="0" applyNumberFormat="0" applyBorder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70" fillId="14" borderId="0" applyNumberFormat="0" applyBorder="0" applyAlignment="0" applyProtection="0"/>
    <xf numFmtId="0" fontId="70" fillId="21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70" fillId="15" borderId="0" applyNumberFormat="0" applyBorder="0" applyAlignment="0" applyProtection="0"/>
    <xf numFmtId="0" fontId="70" fillId="22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23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70" fillId="17" borderId="0" applyNumberFormat="0" applyBorder="0" applyAlignment="0" applyProtection="0"/>
    <xf numFmtId="0" fontId="70" fillId="24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70" fillId="18" borderId="0" applyNumberFormat="0" applyBorder="0" applyAlignment="0" applyProtection="0"/>
    <xf numFmtId="0" fontId="70" fillId="25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70" fillId="19" borderId="0" applyNumberFormat="0" applyBorder="0" applyAlignment="0" applyProtection="0"/>
    <xf numFmtId="0" fontId="23" fillId="0" borderId="0"/>
    <xf numFmtId="0" fontId="23" fillId="32" borderId="8" applyNumberFormat="0" applyFont="0" applyAlignment="0" applyProtection="0"/>
    <xf numFmtId="0" fontId="23" fillId="2" borderId="0" applyNumberFormat="0" applyBorder="0" applyAlignment="0" applyProtection="0"/>
    <xf numFmtId="0" fontId="23" fillId="8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23" fillId="4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12" borderId="0" applyNumberFormat="0" applyBorder="0" applyAlignment="0" applyProtection="0"/>
    <xf numFmtId="0" fontId="23" fillId="7" borderId="0" applyNumberFormat="0" applyBorder="0" applyAlignment="0" applyProtection="0"/>
    <xf numFmtId="0" fontId="23" fillId="13" borderId="0" applyNumberFormat="0" applyBorder="0" applyAlignment="0" applyProtection="0"/>
    <xf numFmtId="0" fontId="22" fillId="0" borderId="0"/>
    <xf numFmtId="0" fontId="22" fillId="32" borderId="8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1" fillId="0" borderId="0"/>
    <xf numFmtId="0" fontId="21" fillId="32" borderId="8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0" fillId="0" borderId="0"/>
    <xf numFmtId="0" fontId="20" fillId="32" borderId="8" applyNumberFormat="0" applyFont="0" applyAlignment="0" applyProtection="0"/>
    <xf numFmtId="0" fontId="20" fillId="2" borderId="0" applyNumberFormat="0" applyBorder="0" applyAlignment="0" applyProtection="0"/>
    <xf numFmtId="0" fontId="20" fillId="8" borderId="0" applyNumberFormat="0" applyBorder="0" applyAlignment="0" applyProtection="0"/>
    <xf numFmtId="0" fontId="20" fillId="3" borderId="0" applyNumberFormat="0" applyBorder="0" applyAlignment="0" applyProtection="0"/>
    <xf numFmtId="0" fontId="20" fillId="9" borderId="0" applyNumberFormat="0" applyBorder="0" applyAlignment="0" applyProtection="0"/>
    <xf numFmtId="0" fontId="20" fillId="4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19" fillId="0" borderId="0"/>
    <xf numFmtId="0" fontId="19" fillId="32" borderId="8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8" fillId="0" borderId="0"/>
    <xf numFmtId="0" fontId="18" fillId="32" borderId="8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7" fillId="0" borderId="0"/>
    <xf numFmtId="0" fontId="17" fillId="32" borderId="8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6" fillId="0" borderId="0"/>
    <xf numFmtId="0" fontId="16" fillId="32" borderId="8" applyNumberFormat="0" applyFont="0" applyAlignment="0" applyProtection="0"/>
    <xf numFmtId="0" fontId="16" fillId="2" borderId="0" applyNumberFormat="0" applyBorder="0" applyAlignment="0" applyProtection="0"/>
    <xf numFmtId="0" fontId="16" fillId="8" borderId="0" applyNumberFormat="0" applyBorder="0" applyAlignment="0" applyProtection="0"/>
    <xf numFmtId="0" fontId="16" fillId="3" borderId="0" applyNumberFormat="0" applyBorder="0" applyAlignment="0" applyProtection="0"/>
    <xf numFmtId="0" fontId="16" fillId="9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5" fillId="0" borderId="0"/>
    <xf numFmtId="0" fontId="15" fillId="32" borderId="8" applyNumberFormat="0" applyFont="0" applyAlignment="0" applyProtection="0"/>
    <xf numFmtId="0" fontId="15" fillId="2" borderId="0" applyNumberFormat="0" applyBorder="0" applyAlignment="0" applyProtection="0"/>
    <xf numFmtId="0" fontId="15" fillId="8" borderId="0" applyNumberFormat="0" applyBorder="0" applyAlignment="0" applyProtection="0"/>
    <xf numFmtId="0" fontId="15" fillId="3" borderId="0" applyNumberFormat="0" applyBorder="0" applyAlignment="0" applyProtection="0"/>
    <xf numFmtId="0" fontId="15" fillId="9" borderId="0" applyNumberFormat="0" applyBorder="0" applyAlignment="0" applyProtection="0"/>
    <xf numFmtId="0" fontId="15" fillId="4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7" borderId="0" applyNumberFormat="0" applyBorder="0" applyAlignment="0" applyProtection="0"/>
    <xf numFmtId="0" fontId="15" fillId="13" borderId="0" applyNumberFormat="0" applyBorder="0" applyAlignment="0" applyProtection="0"/>
    <xf numFmtId="0" fontId="14" fillId="0" borderId="0"/>
    <xf numFmtId="0" fontId="14" fillId="32" borderId="8" applyNumberFormat="0" applyFont="0" applyAlignment="0" applyProtection="0"/>
    <xf numFmtId="0" fontId="14" fillId="2" borderId="0" applyNumberFormat="0" applyBorder="0" applyAlignment="0" applyProtection="0"/>
    <xf numFmtId="0" fontId="14" fillId="8" borderId="0" applyNumberFormat="0" applyBorder="0" applyAlignment="0" applyProtection="0"/>
    <xf numFmtId="0" fontId="14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4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3" fillId="0" borderId="0"/>
    <xf numFmtId="0" fontId="13" fillId="32" borderId="8" applyNumberFormat="0" applyFont="0" applyAlignment="0" applyProtection="0"/>
    <xf numFmtId="0" fontId="13" fillId="2" borderId="0" applyNumberFormat="0" applyBorder="0" applyAlignment="0" applyProtection="0"/>
    <xf numFmtId="0" fontId="13" fillId="8" borderId="0" applyNumberFormat="0" applyBorder="0" applyAlignment="0" applyProtection="0"/>
    <xf numFmtId="0" fontId="13" fillId="3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3" borderId="0" applyNumberFormat="0" applyBorder="0" applyAlignment="0" applyProtection="0"/>
    <xf numFmtId="0" fontId="12" fillId="0" borderId="0"/>
    <xf numFmtId="0" fontId="12" fillId="32" borderId="8" applyNumberFormat="0" applyFont="0" applyAlignment="0" applyProtection="0"/>
    <xf numFmtId="0" fontId="12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3" borderId="0" applyNumberFormat="0" applyBorder="0" applyAlignment="0" applyProtection="0"/>
    <xf numFmtId="0" fontId="12" fillId="9" borderId="0" applyNumberFormat="0" applyBorder="0" applyAlignment="0" applyProtection="0"/>
    <xf numFmtId="0" fontId="12" fillId="4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3" borderId="0" applyNumberFormat="0" applyBorder="0" applyAlignment="0" applyProtection="0"/>
    <xf numFmtId="0" fontId="11" fillId="0" borderId="0"/>
    <xf numFmtId="0" fontId="11" fillId="32" borderId="8" applyNumberFormat="0" applyFont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0" fillId="0" borderId="0"/>
    <xf numFmtId="0" fontId="10" fillId="32" borderId="8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9" fillId="0" borderId="0"/>
    <xf numFmtId="0" fontId="9" fillId="32" borderId="8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8" fillId="0" borderId="0"/>
    <xf numFmtId="0" fontId="8" fillId="32" borderId="8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7" fillId="0" borderId="0"/>
    <xf numFmtId="0" fontId="7" fillId="32" borderId="8" applyNumberFormat="0" applyFont="0" applyAlignment="0" applyProtection="0"/>
    <xf numFmtId="0" fontId="7" fillId="2" borderId="0" applyNumberFormat="0" applyBorder="0" applyAlignment="0" applyProtection="0"/>
    <xf numFmtId="0" fontId="7" fillId="8" borderId="0" applyNumberFormat="0" applyBorder="0" applyAlignment="0" applyProtection="0"/>
    <xf numFmtId="0" fontId="7" fillId="3" borderId="0" applyNumberFormat="0" applyBorder="0" applyAlignment="0" applyProtection="0"/>
    <xf numFmtId="0" fontId="7" fillId="9" borderId="0" applyNumberFormat="0" applyBorder="0" applyAlignment="0" applyProtection="0"/>
    <xf numFmtId="0" fontId="7" fillId="4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11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3" borderId="0" applyNumberFormat="0" applyBorder="0" applyAlignment="0" applyProtection="0"/>
    <xf numFmtId="0" fontId="6" fillId="0" borderId="0"/>
    <xf numFmtId="0" fontId="6" fillId="32" borderId="8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5" fillId="0" borderId="0"/>
    <xf numFmtId="0" fontId="5" fillId="32" borderId="8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4" fillId="0" borderId="0"/>
    <xf numFmtId="0" fontId="4" fillId="32" borderId="8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8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" fillId="0" borderId="0"/>
    <xf numFmtId="0" fontId="71" fillId="0" borderId="0" applyNumberFormat="0" applyFill="0" applyBorder="0" applyAlignment="0" applyProtection="0"/>
    <xf numFmtId="0" fontId="1" fillId="32" borderId="8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</cellStyleXfs>
  <cellXfs count="95">
    <xf numFmtId="0" fontId="0" fillId="0" borderId="0" xfId="0"/>
    <xf numFmtId="4" fontId="35" fillId="0" borderId="0" xfId="0" applyNumberFormat="1" applyFont="1" applyFill="1" applyBorder="1" applyAlignment="1">
      <alignment horizontal="right" vertical="center"/>
    </xf>
    <xf numFmtId="164" fontId="35" fillId="0" borderId="0" xfId="0" applyNumberFormat="1" applyFont="1" applyFill="1" applyBorder="1" applyAlignment="1">
      <alignment horizontal="right" vertical="center"/>
    </xf>
    <xf numFmtId="4" fontId="35" fillId="0" borderId="11" xfId="0" applyNumberFormat="1" applyFont="1" applyFill="1" applyBorder="1" applyAlignment="1">
      <alignment horizontal="right" vertical="center"/>
    </xf>
    <xf numFmtId="164" fontId="35" fillId="0" borderId="11" xfId="0" applyNumberFormat="1" applyFont="1" applyFill="1" applyBorder="1" applyAlignment="1">
      <alignment horizontal="right" vertical="center"/>
    </xf>
    <xf numFmtId="0" fontId="35" fillId="0" borderId="0" xfId="0" applyFont="1" applyFill="1" applyBorder="1" applyAlignment="1">
      <alignment vertical="center"/>
    </xf>
    <xf numFmtId="165" fontId="35" fillId="0" borderId="0" xfId="0" applyNumberFormat="1" applyFont="1" applyFill="1" applyBorder="1" applyAlignment="1">
      <alignment horizontal="center" vertical="center"/>
    </xf>
    <xf numFmtId="0" fontId="35" fillId="0" borderId="0" xfId="0" applyFont="1" applyFill="1" applyBorder="1"/>
    <xf numFmtId="0" fontId="35" fillId="0" borderId="0" xfId="0" applyFont="1" applyFill="1" applyBorder="1" applyAlignment="1">
      <alignment horizontal="left"/>
    </xf>
    <xf numFmtId="1" fontId="35" fillId="0" borderId="0" xfId="0" applyNumberFormat="1" applyFont="1" applyFill="1" applyBorder="1" applyAlignment="1">
      <alignment horizontal="left" vertical="center"/>
    </xf>
    <xf numFmtId="1" fontId="35" fillId="0" borderId="11" xfId="0" applyNumberFormat="1" applyFont="1" applyFill="1" applyBorder="1" applyAlignment="1">
      <alignment horizontal="left" vertical="center"/>
    </xf>
    <xf numFmtId="0" fontId="35" fillId="0" borderId="11" xfId="0" applyFont="1" applyFill="1" applyBorder="1" applyAlignment="1">
      <alignment horizontal="left"/>
    </xf>
    <xf numFmtId="0" fontId="35" fillId="0" borderId="0" xfId="0" applyFont="1" applyFill="1" applyAlignment="1">
      <alignment horizontal="left" vertical="center"/>
    </xf>
    <xf numFmtId="0" fontId="35" fillId="0" borderId="0" xfId="0" applyFont="1" applyFill="1" applyAlignment="1">
      <alignment horizontal="center" vertical="center"/>
    </xf>
    <xf numFmtId="0" fontId="35" fillId="0" borderId="0" xfId="0" applyFont="1" applyFill="1" applyAlignment="1">
      <alignment horizontal="right" vertical="center"/>
    </xf>
    <xf numFmtId="1" fontId="35" fillId="0" borderId="0" xfId="0" applyNumberFormat="1" applyFont="1" applyFill="1" applyBorder="1" applyAlignment="1">
      <alignment horizontal="center" vertical="center"/>
    </xf>
    <xf numFmtId="1" fontId="35" fillId="0" borderId="0" xfId="0" applyNumberFormat="1" applyFont="1" applyFill="1" applyAlignment="1">
      <alignment horizontal="left" vertical="center"/>
    </xf>
    <xf numFmtId="1" fontId="35" fillId="0" borderId="0" xfId="0" applyNumberFormat="1" applyFont="1" applyFill="1" applyAlignment="1">
      <alignment horizontal="center" vertical="center"/>
    </xf>
    <xf numFmtId="4" fontId="35" fillId="0" borderId="0" xfId="0" applyNumberFormat="1" applyFont="1" applyFill="1" applyBorder="1" applyAlignment="1">
      <alignment horizontal="center" vertical="center"/>
    </xf>
    <xf numFmtId="164" fontId="35" fillId="0" borderId="0" xfId="0" applyNumberFormat="1" applyFont="1" applyFill="1" applyBorder="1" applyAlignment="1">
      <alignment horizontal="center" vertical="center"/>
    </xf>
    <xf numFmtId="3" fontId="35" fillId="0" borderId="0" xfId="0" applyNumberFormat="1" applyFont="1" applyFill="1" applyBorder="1" applyAlignment="1">
      <alignment horizontal="left" vertical="center"/>
    </xf>
    <xf numFmtId="165" fontId="35" fillId="0" borderId="0" xfId="0" applyNumberFormat="1" applyFont="1" applyFill="1" applyBorder="1" applyAlignment="1">
      <alignment horizontal="center"/>
    </xf>
    <xf numFmtId="4" fontId="35" fillId="0" borderId="0" xfId="0" applyNumberFormat="1" applyFont="1" applyFill="1" applyBorder="1" applyAlignment="1">
      <alignment horizontal="right"/>
    </xf>
    <xf numFmtId="164" fontId="35" fillId="0" borderId="0" xfId="0" applyNumberFormat="1" applyFont="1" applyFill="1" applyBorder="1" applyAlignment="1">
      <alignment horizontal="right"/>
    </xf>
    <xf numFmtId="165" fontId="35" fillId="0" borderId="11" xfId="0" applyNumberFormat="1" applyFont="1" applyFill="1" applyBorder="1" applyAlignment="1">
      <alignment horizontal="center" wrapText="1"/>
    </xf>
    <xf numFmtId="0" fontId="54" fillId="0" borderId="0" xfId="0" applyFont="1" applyFill="1"/>
    <xf numFmtId="0" fontId="35" fillId="0" borderId="0" xfId="0" applyFont="1" applyFill="1" applyAlignment="1">
      <alignment vertical="center"/>
    </xf>
    <xf numFmtId="0" fontId="54" fillId="0" borderId="0" xfId="0" applyFont="1" applyFill="1" applyAlignment="1">
      <alignment horizontal="center"/>
    </xf>
    <xf numFmtId="49" fontId="54" fillId="0" borderId="0" xfId="0" applyNumberFormat="1" applyFont="1" applyFill="1" applyAlignment="1">
      <alignment horizontal="center"/>
    </xf>
    <xf numFmtId="14" fontId="54" fillId="0" borderId="0" xfId="0" applyNumberFormat="1" applyFont="1" applyFill="1" applyAlignment="1">
      <alignment horizontal="center"/>
    </xf>
    <xf numFmtId="0" fontId="55" fillId="0" borderId="0" xfId="0" applyFont="1" applyFill="1" applyAlignment="1">
      <alignment vertical="center"/>
    </xf>
    <xf numFmtId="4" fontId="54" fillId="0" borderId="0" xfId="0" applyNumberFormat="1" applyFont="1" applyFill="1" applyBorder="1"/>
    <xf numFmtId="164" fontId="54" fillId="0" borderId="0" xfId="0" applyNumberFormat="1" applyFont="1" applyFill="1" applyBorder="1"/>
    <xf numFmtId="4" fontId="54" fillId="0" borderId="0" xfId="0" applyNumberFormat="1" applyFont="1" applyFill="1"/>
    <xf numFmtId="164" fontId="54" fillId="0" borderId="0" xfId="0" applyNumberFormat="1" applyFont="1" applyFill="1"/>
    <xf numFmtId="0" fontId="54" fillId="0" borderId="0" xfId="0" applyFont="1" applyFill="1" applyAlignment="1">
      <alignment vertical="center"/>
    </xf>
    <xf numFmtId="0" fontId="54" fillId="0" borderId="0" xfId="588" applyFont="1" applyFill="1" applyAlignment="1">
      <alignment vertical="center"/>
    </xf>
    <xf numFmtId="0" fontId="54" fillId="0" borderId="0" xfId="588" applyFont="1" applyFill="1"/>
    <xf numFmtId="0" fontId="54" fillId="0" borderId="0" xfId="588" applyNumberFormat="1" applyFont="1" applyFill="1" applyAlignment="1">
      <alignment horizontal="left" wrapText="1"/>
    </xf>
    <xf numFmtId="0" fontId="54" fillId="0" borderId="0" xfId="560" applyFont="1" applyFill="1"/>
    <xf numFmtId="0" fontId="35" fillId="0" borderId="0" xfId="0" applyFont="1" applyFill="1" applyBorder="1" applyAlignment="1">
      <alignment vertical="center" wrapText="1"/>
    </xf>
    <xf numFmtId="0" fontId="54" fillId="0" borderId="0" xfId="39" applyFont="1" applyFill="1" applyAlignment="1">
      <alignment vertical="center"/>
    </xf>
    <xf numFmtId="0" fontId="0" fillId="0" borderId="0" xfId="0" applyFill="1" applyAlignment="1">
      <alignment horizontal="left" vertical="center"/>
    </xf>
    <xf numFmtId="0" fontId="35" fillId="0" borderId="1" xfId="0" applyFont="1" applyFill="1" applyBorder="1" applyAlignment="1">
      <alignment horizontal="left"/>
    </xf>
    <xf numFmtId="0" fontId="35" fillId="0" borderId="0" xfId="0" applyFont="1" applyFill="1" applyBorder="1" applyAlignment="1"/>
    <xf numFmtId="0" fontId="54" fillId="0" borderId="0" xfId="155" applyFont="1" applyFill="1" applyAlignment="1">
      <alignment vertical="center"/>
    </xf>
    <xf numFmtId="4" fontId="54" fillId="0" borderId="0" xfId="518" applyNumberFormat="1" applyFont="1" applyFill="1" applyAlignment="1">
      <alignment vertical="center"/>
    </xf>
    <xf numFmtId="0" fontId="54" fillId="0" borderId="0" xfId="392" applyFont="1" applyFill="1" applyAlignment="1">
      <alignment vertical="center"/>
    </xf>
    <xf numFmtId="0" fontId="54" fillId="0" borderId="0" xfId="169" applyFont="1" applyFill="1" applyAlignment="1">
      <alignment vertical="center"/>
    </xf>
    <xf numFmtId="0" fontId="35" fillId="0" borderId="0" xfId="0" applyFont="1" applyFill="1" applyAlignment="1"/>
    <xf numFmtId="0" fontId="35" fillId="0" borderId="0" xfId="0" applyFont="1" applyFill="1" applyAlignment="1">
      <alignment horizontal="center"/>
    </xf>
    <xf numFmtId="49" fontId="35" fillId="0" borderId="0" xfId="0" applyNumberFormat="1" applyFont="1" applyFill="1" applyAlignment="1">
      <alignment horizontal="center"/>
    </xf>
    <xf numFmtId="14" fontId="35" fillId="0" borderId="0" xfId="0" applyNumberFormat="1" applyFont="1" applyFill="1" applyAlignment="1">
      <alignment horizontal="center"/>
    </xf>
    <xf numFmtId="4" fontId="35" fillId="0" borderId="0" xfId="0" applyNumberFormat="1" applyFont="1" applyFill="1"/>
    <xf numFmtId="164" fontId="35" fillId="0" borderId="0" xfId="0" applyNumberFormat="1" applyFont="1" applyFill="1"/>
    <xf numFmtId="4" fontId="35" fillId="0" borderId="1" xfId="0" applyNumberFormat="1" applyFont="1" applyFill="1" applyBorder="1" applyAlignment="1">
      <alignment horizontal="center" wrapText="1"/>
    </xf>
    <xf numFmtId="4" fontId="0" fillId="0" borderId="0" xfId="0" applyNumberFormat="1" applyFill="1"/>
    <xf numFmtId="4" fontId="54" fillId="0" borderId="0" xfId="0" applyNumberFormat="1" applyFont="1" applyFill="1" applyAlignment="1">
      <alignment vertical="center"/>
    </xf>
    <xf numFmtId="4" fontId="54" fillId="0" borderId="0" xfId="406" applyNumberFormat="1" applyFont="1" applyFill="1" applyAlignment="1">
      <alignment vertical="center"/>
    </xf>
    <xf numFmtId="4" fontId="54" fillId="0" borderId="0" xfId="169" applyNumberFormat="1" applyFont="1" applyFill="1" applyAlignment="1">
      <alignment vertical="center"/>
    </xf>
    <xf numFmtId="0" fontId="35" fillId="0" borderId="0" xfId="0" applyFont="1" applyFill="1" applyAlignment="1">
      <alignment horizontal="right"/>
    </xf>
    <xf numFmtId="0" fontId="35" fillId="0" borderId="0" xfId="0" applyFont="1" applyFill="1" applyBorder="1" applyAlignment="1">
      <alignment horizontal="left" vertical="center"/>
    </xf>
    <xf numFmtId="0" fontId="35" fillId="0" borderId="1" xfId="0" applyFont="1" applyFill="1" applyBorder="1" applyAlignment="1">
      <alignment horizontal="center" wrapText="1"/>
    </xf>
    <xf numFmtId="1" fontId="35" fillId="0" borderId="1" xfId="0" applyNumberFormat="1" applyFont="1" applyFill="1" applyBorder="1" applyAlignment="1">
      <alignment horizontal="center" wrapText="1"/>
    </xf>
    <xf numFmtId="165" fontId="35" fillId="0" borderId="1" xfId="0" applyNumberFormat="1" applyFont="1" applyFill="1" applyBorder="1" applyAlignment="1">
      <alignment horizontal="center" wrapText="1"/>
    </xf>
    <xf numFmtId="0" fontId="35" fillId="0" borderId="1" xfId="0" applyFont="1" applyFill="1" applyBorder="1"/>
    <xf numFmtId="49" fontId="35" fillId="0" borderId="0" xfId="0" applyNumberFormat="1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/>
    </xf>
    <xf numFmtId="0" fontId="35" fillId="0" borderId="0" xfId="0" applyFont="1" applyFill="1" applyBorder="1" applyAlignment="1">
      <alignment horizontal="right" vertical="center"/>
    </xf>
    <xf numFmtId="0" fontId="36" fillId="0" borderId="0" xfId="0" applyFont="1" applyFill="1" applyBorder="1"/>
    <xf numFmtId="0" fontId="0" fillId="0" borderId="0" xfId="0" applyFill="1" applyAlignment="1">
      <alignment horizontal="center"/>
    </xf>
    <xf numFmtId="49" fontId="0" fillId="0" borderId="0" xfId="0" applyNumberFormat="1" applyFill="1" applyAlignment="1">
      <alignment horizontal="center"/>
    </xf>
    <xf numFmtId="14" fontId="0" fillId="0" borderId="0" xfId="0" applyNumberFormat="1" applyFill="1" applyAlignment="1">
      <alignment horizontal="center"/>
    </xf>
    <xf numFmtId="164" fontId="0" fillId="0" borderId="0" xfId="0" applyNumberFormat="1" applyFill="1"/>
    <xf numFmtId="0" fontId="54" fillId="0" borderId="0" xfId="37" applyFont="1" applyFill="1" applyAlignment="1">
      <alignment horizontal="center" vertical="center"/>
    </xf>
    <xf numFmtId="49" fontId="54" fillId="0" borderId="0" xfId="37" applyNumberFormat="1" applyFont="1" applyFill="1" applyAlignment="1">
      <alignment horizontal="center" vertical="center"/>
    </xf>
    <xf numFmtId="14" fontId="54" fillId="0" borderId="0" xfId="0" applyNumberFormat="1" applyFont="1" applyFill="1" applyAlignment="1">
      <alignment horizontal="center" vertical="center"/>
    </xf>
    <xf numFmtId="164" fontId="54" fillId="0" borderId="0" xfId="0" applyNumberFormat="1" applyFont="1" applyFill="1" applyAlignment="1">
      <alignment vertical="center"/>
    </xf>
    <xf numFmtId="0" fontId="35" fillId="0" borderId="0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vertical="center"/>
    </xf>
    <xf numFmtId="0" fontId="54" fillId="0" borderId="0" xfId="406" applyFont="1" applyFill="1" applyAlignment="1">
      <alignment horizontal="center" vertical="center"/>
    </xf>
    <xf numFmtId="49" fontId="54" fillId="0" borderId="0" xfId="406" applyNumberFormat="1" applyFont="1" applyFill="1" applyAlignment="1">
      <alignment horizontal="center" vertical="center"/>
    </xf>
    <xf numFmtId="14" fontId="54" fillId="0" borderId="0" xfId="406" applyNumberFormat="1" applyFont="1" applyFill="1" applyAlignment="1">
      <alignment horizontal="center" vertical="center"/>
    </xf>
    <xf numFmtId="164" fontId="54" fillId="0" borderId="0" xfId="406" applyNumberFormat="1" applyFont="1" applyFill="1" applyAlignment="1">
      <alignment vertical="center"/>
    </xf>
    <xf numFmtId="0" fontId="54" fillId="0" borderId="0" xfId="169" applyFont="1" applyFill="1" applyAlignment="1">
      <alignment horizontal="center" vertical="center"/>
    </xf>
    <xf numFmtId="49" fontId="54" fillId="0" borderId="0" xfId="169" applyNumberFormat="1" applyFont="1" applyFill="1" applyAlignment="1">
      <alignment horizontal="center" vertical="center"/>
    </xf>
    <xf numFmtId="14" fontId="54" fillId="0" borderId="0" xfId="169" applyNumberFormat="1" applyFont="1" applyFill="1" applyAlignment="1">
      <alignment horizontal="center" vertical="center"/>
    </xf>
    <xf numFmtId="164" fontId="54" fillId="0" borderId="0" xfId="169" applyNumberFormat="1" applyFont="1" applyFill="1" applyAlignment="1">
      <alignment vertical="center"/>
    </xf>
    <xf numFmtId="49" fontId="35" fillId="0" borderId="0" xfId="0" applyNumberFormat="1" applyFont="1" applyFill="1" applyBorder="1" applyAlignment="1">
      <alignment horizontal="center" vertical="center"/>
    </xf>
    <xf numFmtId="0" fontId="35" fillId="0" borderId="0" xfId="0" applyFont="1" applyFill="1" applyAlignment="1">
      <alignment vertical="center" wrapText="1"/>
    </xf>
    <xf numFmtId="1" fontId="35" fillId="0" borderId="0" xfId="0" applyNumberFormat="1" applyFont="1" applyFill="1" applyBorder="1" applyAlignment="1">
      <alignment horizontal="center"/>
    </xf>
    <xf numFmtId="0" fontId="35" fillId="0" borderId="0" xfId="0" applyFont="1" applyFill="1" applyBorder="1" applyAlignment="1">
      <alignment horizontal="center" wrapText="1"/>
    </xf>
    <xf numFmtId="1" fontId="35" fillId="0" borderId="0" xfId="0" applyNumberFormat="1" applyFont="1" applyFill="1" applyBorder="1" applyAlignment="1">
      <alignment horizontal="center" wrapText="1"/>
    </xf>
    <xf numFmtId="165" fontId="35" fillId="0" borderId="11" xfId="0" applyNumberFormat="1" applyFont="1" applyFill="1" applyBorder="1" applyAlignment="1">
      <alignment horizontal="center" vertical="center"/>
    </xf>
    <xf numFmtId="0" fontId="72" fillId="0" borderId="0" xfId="0" applyFont="1" applyFill="1" applyBorder="1"/>
  </cellXfs>
  <cellStyles count="617">
    <cellStyle name="20% - Accent1" xfId="1" builtinId="30" customBuiltin="1"/>
    <cellStyle name="20% - Accent1 10" xfId="227" xr:uid="{00000000-0005-0000-0000-000001000000}"/>
    <cellStyle name="20% - Accent1 11" xfId="241" xr:uid="{00000000-0005-0000-0000-000002000000}"/>
    <cellStyle name="20% - Accent1 12" xfId="271" xr:uid="{00000000-0005-0000-0000-000003000000}"/>
    <cellStyle name="20% - Accent1 13" xfId="296" xr:uid="{00000000-0005-0000-0000-000004000000}"/>
    <cellStyle name="20% - Accent1 14" xfId="310" xr:uid="{00000000-0005-0000-0000-000005000000}"/>
    <cellStyle name="20% - Accent1 15" xfId="324" xr:uid="{00000000-0005-0000-0000-000006000000}"/>
    <cellStyle name="20% - Accent1 16" xfId="338" xr:uid="{00000000-0005-0000-0000-000007000000}"/>
    <cellStyle name="20% - Accent1 17" xfId="352" xr:uid="{00000000-0005-0000-0000-000008000000}"/>
    <cellStyle name="20% - Accent1 18" xfId="366" xr:uid="{00000000-0005-0000-0000-000009000000}"/>
    <cellStyle name="20% - Accent1 19" xfId="380" xr:uid="{00000000-0005-0000-0000-00000A000000}"/>
    <cellStyle name="20% - Accent1 2" xfId="115" xr:uid="{00000000-0005-0000-0000-00000B000000}"/>
    <cellStyle name="20% - Accent1 20" xfId="394" xr:uid="{00000000-0005-0000-0000-00000C000000}"/>
    <cellStyle name="20% - Accent1 21" xfId="408" xr:uid="{00000000-0005-0000-0000-00000D000000}"/>
    <cellStyle name="20% - Accent1 22" xfId="422" xr:uid="{00000000-0005-0000-0000-00000E000000}"/>
    <cellStyle name="20% - Accent1 23" xfId="436" xr:uid="{00000000-0005-0000-0000-00000F000000}"/>
    <cellStyle name="20% - Accent1 24" xfId="450" xr:uid="{00000000-0005-0000-0000-000010000000}"/>
    <cellStyle name="20% - Accent1 25" xfId="464" xr:uid="{00000000-0005-0000-0000-000011000000}"/>
    <cellStyle name="20% - Accent1 26" xfId="478" xr:uid="{00000000-0005-0000-0000-000012000000}"/>
    <cellStyle name="20% - Accent1 27" xfId="492" xr:uid="{00000000-0005-0000-0000-000013000000}"/>
    <cellStyle name="20% - Accent1 28" xfId="506" xr:uid="{00000000-0005-0000-0000-000014000000}"/>
    <cellStyle name="20% - Accent1 29" xfId="520" xr:uid="{00000000-0005-0000-0000-000015000000}"/>
    <cellStyle name="20% - Accent1 3" xfId="129" xr:uid="{00000000-0005-0000-0000-000016000000}"/>
    <cellStyle name="20% - Accent1 30" xfId="534" xr:uid="{00000000-0005-0000-0000-000017000000}"/>
    <cellStyle name="20% - Accent1 31" xfId="548" xr:uid="{00000000-0005-0000-0000-000018000000}"/>
    <cellStyle name="20% - Accent1 32" xfId="562" xr:uid="{00000000-0005-0000-0000-000019000000}"/>
    <cellStyle name="20% - Accent1 33" xfId="576" xr:uid="{00000000-0005-0000-0000-00001A000000}"/>
    <cellStyle name="20% - Accent1 34" xfId="590" xr:uid="{00000000-0005-0000-0000-00001B000000}"/>
    <cellStyle name="20% - Accent1 35" xfId="605" xr:uid="{00000000-0005-0000-0000-00001C000000}"/>
    <cellStyle name="20% - Accent1 4" xfId="143" xr:uid="{00000000-0005-0000-0000-00001D000000}"/>
    <cellStyle name="20% - Accent1 5" xfId="157" xr:uid="{00000000-0005-0000-0000-00001E000000}"/>
    <cellStyle name="20% - Accent1 6" xfId="171" xr:uid="{00000000-0005-0000-0000-00001F000000}"/>
    <cellStyle name="20% - Accent1 7" xfId="185" xr:uid="{00000000-0005-0000-0000-000020000000}"/>
    <cellStyle name="20% - Accent1 8" xfId="199" xr:uid="{00000000-0005-0000-0000-000021000000}"/>
    <cellStyle name="20% - Accent1 9" xfId="213" xr:uid="{00000000-0005-0000-0000-000022000000}"/>
    <cellStyle name="20% - Accent2" xfId="2" builtinId="34" customBuiltin="1"/>
    <cellStyle name="20% - Accent2 10" xfId="229" xr:uid="{00000000-0005-0000-0000-000024000000}"/>
    <cellStyle name="20% - Accent2 11" xfId="243" xr:uid="{00000000-0005-0000-0000-000025000000}"/>
    <cellStyle name="20% - Accent2 12" xfId="275" xr:uid="{00000000-0005-0000-0000-000026000000}"/>
    <cellStyle name="20% - Accent2 13" xfId="298" xr:uid="{00000000-0005-0000-0000-000027000000}"/>
    <cellStyle name="20% - Accent2 14" xfId="312" xr:uid="{00000000-0005-0000-0000-000028000000}"/>
    <cellStyle name="20% - Accent2 15" xfId="326" xr:uid="{00000000-0005-0000-0000-000029000000}"/>
    <cellStyle name="20% - Accent2 16" xfId="340" xr:uid="{00000000-0005-0000-0000-00002A000000}"/>
    <cellStyle name="20% - Accent2 17" xfId="354" xr:uid="{00000000-0005-0000-0000-00002B000000}"/>
    <cellStyle name="20% - Accent2 18" xfId="368" xr:uid="{00000000-0005-0000-0000-00002C000000}"/>
    <cellStyle name="20% - Accent2 19" xfId="382" xr:uid="{00000000-0005-0000-0000-00002D000000}"/>
    <cellStyle name="20% - Accent2 2" xfId="117" xr:uid="{00000000-0005-0000-0000-00002E000000}"/>
    <cellStyle name="20% - Accent2 20" xfId="396" xr:uid="{00000000-0005-0000-0000-00002F000000}"/>
    <cellStyle name="20% - Accent2 21" xfId="410" xr:uid="{00000000-0005-0000-0000-000030000000}"/>
    <cellStyle name="20% - Accent2 22" xfId="424" xr:uid="{00000000-0005-0000-0000-000031000000}"/>
    <cellStyle name="20% - Accent2 23" xfId="438" xr:uid="{00000000-0005-0000-0000-000032000000}"/>
    <cellStyle name="20% - Accent2 24" xfId="452" xr:uid="{00000000-0005-0000-0000-000033000000}"/>
    <cellStyle name="20% - Accent2 25" xfId="466" xr:uid="{00000000-0005-0000-0000-000034000000}"/>
    <cellStyle name="20% - Accent2 26" xfId="480" xr:uid="{00000000-0005-0000-0000-000035000000}"/>
    <cellStyle name="20% - Accent2 27" xfId="494" xr:uid="{00000000-0005-0000-0000-000036000000}"/>
    <cellStyle name="20% - Accent2 28" xfId="508" xr:uid="{00000000-0005-0000-0000-000037000000}"/>
    <cellStyle name="20% - Accent2 29" xfId="522" xr:uid="{00000000-0005-0000-0000-000038000000}"/>
    <cellStyle name="20% - Accent2 3" xfId="131" xr:uid="{00000000-0005-0000-0000-000039000000}"/>
    <cellStyle name="20% - Accent2 30" xfId="536" xr:uid="{00000000-0005-0000-0000-00003A000000}"/>
    <cellStyle name="20% - Accent2 31" xfId="550" xr:uid="{00000000-0005-0000-0000-00003B000000}"/>
    <cellStyle name="20% - Accent2 32" xfId="564" xr:uid="{00000000-0005-0000-0000-00003C000000}"/>
    <cellStyle name="20% - Accent2 33" xfId="578" xr:uid="{00000000-0005-0000-0000-00003D000000}"/>
    <cellStyle name="20% - Accent2 34" xfId="592" xr:uid="{00000000-0005-0000-0000-00003E000000}"/>
    <cellStyle name="20% - Accent2 35" xfId="607" xr:uid="{00000000-0005-0000-0000-00003F000000}"/>
    <cellStyle name="20% - Accent2 4" xfId="145" xr:uid="{00000000-0005-0000-0000-000040000000}"/>
    <cellStyle name="20% - Accent2 5" xfId="159" xr:uid="{00000000-0005-0000-0000-000041000000}"/>
    <cellStyle name="20% - Accent2 6" xfId="173" xr:uid="{00000000-0005-0000-0000-000042000000}"/>
    <cellStyle name="20% - Accent2 7" xfId="187" xr:uid="{00000000-0005-0000-0000-000043000000}"/>
    <cellStyle name="20% - Accent2 8" xfId="201" xr:uid="{00000000-0005-0000-0000-000044000000}"/>
    <cellStyle name="20% - Accent2 9" xfId="215" xr:uid="{00000000-0005-0000-0000-000045000000}"/>
    <cellStyle name="20% - Accent3" xfId="3" builtinId="38" customBuiltin="1"/>
    <cellStyle name="20% - Accent3 10" xfId="231" xr:uid="{00000000-0005-0000-0000-000047000000}"/>
    <cellStyle name="20% - Accent3 11" xfId="245" xr:uid="{00000000-0005-0000-0000-000048000000}"/>
    <cellStyle name="20% - Accent3 12" xfId="279" xr:uid="{00000000-0005-0000-0000-000049000000}"/>
    <cellStyle name="20% - Accent3 13" xfId="300" xr:uid="{00000000-0005-0000-0000-00004A000000}"/>
    <cellStyle name="20% - Accent3 14" xfId="314" xr:uid="{00000000-0005-0000-0000-00004B000000}"/>
    <cellStyle name="20% - Accent3 15" xfId="328" xr:uid="{00000000-0005-0000-0000-00004C000000}"/>
    <cellStyle name="20% - Accent3 16" xfId="342" xr:uid="{00000000-0005-0000-0000-00004D000000}"/>
    <cellStyle name="20% - Accent3 17" xfId="356" xr:uid="{00000000-0005-0000-0000-00004E000000}"/>
    <cellStyle name="20% - Accent3 18" xfId="370" xr:uid="{00000000-0005-0000-0000-00004F000000}"/>
    <cellStyle name="20% - Accent3 19" xfId="384" xr:uid="{00000000-0005-0000-0000-000050000000}"/>
    <cellStyle name="20% - Accent3 2" xfId="119" xr:uid="{00000000-0005-0000-0000-000051000000}"/>
    <cellStyle name="20% - Accent3 20" xfId="398" xr:uid="{00000000-0005-0000-0000-000052000000}"/>
    <cellStyle name="20% - Accent3 21" xfId="412" xr:uid="{00000000-0005-0000-0000-000053000000}"/>
    <cellStyle name="20% - Accent3 22" xfId="426" xr:uid="{00000000-0005-0000-0000-000054000000}"/>
    <cellStyle name="20% - Accent3 23" xfId="440" xr:uid="{00000000-0005-0000-0000-000055000000}"/>
    <cellStyle name="20% - Accent3 24" xfId="454" xr:uid="{00000000-0005-0000-0000-000056000000}"/>
    <cellStyle name="20% - Accent3 25" xfId="468" xr:uid="{00000000-0005-0000-0000-000057000000}"/>
    <cellStyle name="20% - Accent3 26" xfId="482" xr:uid="{00000000-0005-0000-0000-000058000000}"/>
    <cellStyle name="20% - Accent3 27" xfId="496" xr:uid="{00000000-0005-0000-0000-000059000000}"/>
    <cellStyle name="20% - Accent3 28" xfId="510" xr:uid="{00000000-0005-0000-0000-00005A000000}"/>
    <cellStyle name="20% - Accent3 29" xfId="524" xr:uid="{00000000-0005-0000-0000-00005B000000}"/>
    <cellStyle name="20% - Accent3 3" xfId="133" xr:uid="{00000000-0005-0000-0000-00005C000000}"/>
    <cellStyle name="20% - Accent3 30" xfId="538" xr:uid="{00000000-0005-0000-0000-00005D000000}"/>
    <cellStyle name="20% - Accent3 31" xfId="552" xr:uid="{00000000-0005-0000-0000-00005E000000}"/>
    <cellStyle name="20% - Accent3 32" xfId="566" xr:uid="{00000000-0005-0000-0000-00005F000000}"/>
    <cellStyle name="20% - Accent3 33" xfId="580" xr:uid="{00000000-0005-0000-0000-000060000000}"/>
    <cellStyle name="20% - Accent3 34" xfId="594" xr:uid="{00000000-0005-0000-0000-000061000000}"/>
    <cellStyle name="20% - Accent3 35" xfId="609" xr:uid="{00000000-0005-0000-0000-000062000000}"/>
    <cellStyle name="20% - Accent3 4" xfId="147" xr:uid="{00000000-0005-0000-0000-000063000000}"/>
    <cellStyle name="20% - Accent3 5" xfId="161" xr:uid="{00000000-0005-0000-0000-000064000000}"/>
    <cellStyle name="20% - Accent3 6" xfId="175" xr:uid="{00000000-0005-0000-0000-000065000000}"/>
    <cellStyle name="20% - Accent3 7" xfId="189" xr:uid="{00000000-0005-0000-0000-000066000000}"/>
    <cellStyle name="20% - Accent3 8" xfId="203" xr:uid="{00000000-0005-0000-0000-000067000000}"/>
    <cellStyle name="20% - Accent3 9" xfId="217" xr:uid="{00000000-0005-0000-0000-000068000000}"/>
    <cellStyle name="20% - Accent4" xfId="4" builtinId="42" customBuiltin="1"/>
    <cellStyle name="20% - Accent4 10" xfId="233" xr:uid="{00000000-0005-0000-0000-00006A000000}"/>
    <cellStyle name="20% - Accent4 11" xfId="247" xr:uid="{00000000-0005-0000-0000-00006B000000}"/>
    <cellStyle name="20% - Accent4 12" xfId="283" xr:uid="{00000000-0005-0000-0000-00006C000000}"/>
    <cellStyle name="20% - Accent4 13" xfId="302" xr:uid="{00000000-0005-0000-0000-00006D000000}"/>
    <cellStyle name="20% - Accent4 14" xfId="316" xr:uid="{00000000-0005-0000-0000-00006E000000}"/>
    <cellStyle name="20% - Accent4 15" xfId="330" xr:uid="{00000000-0005-0000-0000-00006F000000}"/>
    <cellStyle name="20% - Accent4 16" xfId="344" xr:uid="{00000000-0005-0000-0000-000070000000}"/>
    <cellStyle name="20% - Accent4 17" xfId="358" xr:uid="{00000000-0005-0000-0000-000071000000}"/>
    <cellStyle name="20% - Accent4 18" xfId="372" xr:uid="{00000000-0005-0000-0000-000072000000}"/>
    <cellStyle name="20% - Accent4 19" xfId="386" xr:uid="{00000000-0005-0000-0000-000073000000}"/>
    <cellStyle name="20% - Accent4 2" xfId="121" xr:uid="{00000000-0005-0000-0000-000074000000}"/>
    <cellStyle name="20% - Accent4 20" xfId="400" xr:uid="{00000000-0005-0000-0000-000075000000}"/>
    <cellStyle name="20% - Accent4 21" xfId="414" xr:uid="{00000000-0005-0000-0000-000076000000}"/>
    <cellStyle name="20% - Accent4 22" xfId="428" xr:uid="{00000000-0005-0000-0000-000077000000}"/>
    <cellStyle name="20% - Accent4 23" xfId="442" xr:uid="{00000000-0005-0000-0000-000078000000}"/>
    <cellStyle name="20% - Accent4 24" xfId="456" xr:uid="{00000000-0005-0000-0000-000079000000}"/>
    <cellStyle name="20% - Accent4 25" xfId="470" xr:uid="{00000000-0005-0000-0000-00007A000000}"/>
    <cellStyle name="20% - Accent4 26" xfId="484" xr:uid="{00000000-0005-0000-0000-00007B000000}"/>
    <cellStyle name="20% - Accent4 27" xfId="498" xr:uid="{00000000-0005-0000-0000-00007C000000}"/>
    <cellStyle name="20% - Accent4 28" xfId="512" xr:uid="{00000000-0005-0000-0000-00007D000000}"/>
    <cellStyle name="20% - Accent4 29" xfId="526" xr:uid="{00000000-0005-0000-0000-00007E000000}"/>
    <cellStyle name="20% - Accent4 3" xfId="135" xr:uid="{00000000-0005-0000-0000-00007F000000}"/>
    <cellStyle name="20% - Accent4 30" xfId="540" xr:uid="{00000000-0005-0000-0000-000080000000}"/>
    <cellStyle name="20% - Accent4 31" xfId="554" xr:uid="{00000000-0005-0000-0000-000081000000}"/>
    <cellStyle name="20% - Accent4 32" xfId="568" xr:uid="{00000000-0005-0000-0000-000082000000}"/>
    <cellStyle name="20% - Accent4 33" xfId="582" xr:uid="{00000000-0005-0000-0000-000083000000}"/>
    <cellStyle name="20% - Accent4 34" xfId="596" xr:uid="{00000000-0005-0000-0000-000084000000}"/>
    <cellStyle name="20% - Accent4 35" xfId="611" xr:uid="{00000000-0005-0000-0000-000085000000}"/>
    <cellStyle name="20% - Accent4 4" xfId="149" xr:uid="{00000000-0005-0000-0000-000086000000}"/>
    <cellStyle name="20% - Accent4 5" xfId="163" xr:uid="{00000000-0005-0000-0000-000087000000}"/>
    <cellStyle name="20% - Accent4 6" xfId="177" xr:uid="{00000000-0005-0000-0000-000088000000}"/>
    <cellStyle name="20% - Accent4 7" xfId="191" xr:uid="{00000000-0005-0000-0000-000089000000}"/>
    <cellStyle name="20% - Accent4 8" xfId="205" xr:uid="{00000000-0005-0000-0000-00008A000000}"/>
    <cellStyle name="20% - Accent4 9" xfId="219" xr:uid="{00000000-0005-0000-0000-00008B000000}"/>
    <cellStyle name="20% - Accent5" xfId="5" builtinId="46" customBuiltin="1"/>
    <cellStyle name="20% - Accent5 10" xfId="235" xr:uid="{00000000-0005-0000-0000-00008D000000}"/>
    <cellStyle name="20% - Accent5 11" xfId="249" xr:uid="{00000000-0005-0000-0000-00008E000000}"/>
    <cellStyle name="20% - Accent5 12" xfId="287" xr:uid="{00000000-0005-0000-0000-00008F000000}"/>
    <cellStyle name="20% - Accent5 13" xfId="304" xr:uid="{00000000-0005-0000-0000-000090000000}"/>
    <cellStyle name="20% - Accent5 14" xfId="318" xr:uid="{00000000-0005-0000-0000-000091000000}"/>
    <cellStyle name="20% - Accent5 15" xfId="332" xr:uid="{00000000-0005-0000-0000-000092000000}"/>
    <cellStyle name="20% - Accent5 16" xfId="346" xr:uid="{00000000-0005-0000-0000-000093000000}"/>
    <cellStyle name="20% - Accent5 17" xfId="360" xr:uid="{00000000-0005-0000-0000-000094000000}"/>
    <cellStyle name="20% - Accent5 18" xfId="374" xr:uid="{00000000-0005-0000-0000-000095000000}"/>
    <cellStyle name="20% - Accent5 19" xfId="388" xr:uid="{00000000-0005-0000-0000-000096000000}"/>
    <cellStyle name="20% - Accent5 2" xfId="123" xr:uid="{00000000-0005-0000-0000-000097000000}"/>
    <cellStyle name="20% - Accent5 20" xfId="402" xr:uid="{00000000-0005-0000-0000-000098000000}"/>
    <cellStyle name="20% - Accent5 21" xfId="416" xr:uid="{00000000-0005-0000-0000-000099000000}"/>
    <cellStyle name="20% - Accent5 22" xfId="430" xr:uid="{00000000-0005-0000-0000-00009A000000}"/>
    <cellStyle name="20% - Accent5 23" xfId="444" xr:uid="{00000000-0005-0000-0000-00009B000000}"/>
    <cellStyle name="20% - Accent5 24" xfId="458" xr:uid="{00000000-0005-0000-0000-00009C000000}"/>
    <cellStyle name="20% - Accent5 25" xfId="472" xr:uid="{00000000-0005-0000-0000-00009D000000}"/>
    <cellStyle name="20% - Accent5 26" xfId="486" xr:uid="{00000000-0005-0000-0000-00009E000000}"/>
    <cellStyle name="20% - Accent5 27" xfId="500" xr:uid="{00000000-0005-0000-0000-00009F000000}"/>
    <cellStyle name="20% - Accent5 28" xfId="514" xr:uid="{00000000-0005-0000-0000-0000A0000000}"/>
    <cellStyle name="20% - Accent5 29" xfId="528" xr:uid="{00000000-0005-0000-0000-0000A1000000}"/>
    <cellStyle name="20% - Accent5 3" xfId="137" xr:uid="{00000000-0005-0000-0000-0000A2000000}"/>
    <cellStyle name="20% - Accent5 30" xfId="542" xr:uid="{00000000-0005-0000-0000-0000A3000000}"/>
    <cellStyle name="20% - Accent5 31" xfId="556" xr:uid="{00000000-0005-0000-0000-0000A4000000}"/>
    <cellStyle name="20% - Accent5 32" xfId="570" xr:uid="{00000000-0005-0000-0000-0000A5000000}"/>
    <cellStyle name="20% - Accent5 33" xfId="584" xr:uid="{00000000-0005-0000-0000-0000A6000000}"/>
    <cellStyle name="20% - Accent5 34" xfId="598" xr:uid="{00000000-0005-0000-0000-0000A7000000}"/>
    <cellStyle name="20% - Accent5 35" xfId="613" xr:uid="{00000000-0005-0000-0000-0000A8000000}"/>
    <cellStyle name="20% - Accent5 4" xfId="151" xr:uid="{00000000-0005-0000-0000-0000A9000000}"/>
    <cellStyle name="20% - Accent5 5" xfId="165" xr:uid="{00000000-0005-0000-0000-0000AA000000}"/>
    <cellStyle name="20% - Accent5 6" xfId="179" xr:uid="{00000000-0005-0000-0000-0000AB000000}"/>
    <cellStyle name="20% - Accent5 7" xfId="193" xr:uid="{00000000-0005-0000-0000-0000AC000000}"/>
    <cellStyle name="20% - Accent5 8" xfId="207" xr:uid="{00000000-0005-0000-0000-0000AD000000}"/>
    <cellStyle name="20% - Accent5 9" xfId="221" xr:uid="{00000000-0005-0000-0000-0000AE000000}"/>
    <cellStyle name="20% - Accent6" xfId="6" builtinId="50" customBuiltin="1"/>
    <cellStyle name="20% - Accent6 10" xfId="237" xr:uid="{00000000-0005-0000-0000-0000B0000000}"/>
    <cellStyle name="20% - Accent6 11" xfId="251" xr:uid="{00000000-0005-0000-0000-0000B1000000}"/>
    <cellStyle name="20% - Accent6 12" xfId="291" xr:uid="{00000000-0005-0000-0000-0000B2000000}"/>
    <cellStyle name="20% - Accent6 13" xfId="306" xr:uid="{00000000-0005-0000-0000-0000B3000000}"/>
    <cellStyle name="20% - Accent6 14" xfId="320" xr:uid="{00000000-0005-0000-0000-0000B4000000}"/>
    <cellStyle name="20% - Accent6 15" xfId="334" xr:uid="{00000000-0005-0000-0000-0000B5000000}"/>
    <cellStyle name="20% - Accent6 16" xfId="348" xr:uid="{00000000-0005-0000-0000-0000B6000000}"/>
    <cellStyle name="20% - Accent6 17" xfId="362" xr:uid="{00000000-0005-0000-0000-0000B7000000}"/>
    <cellStyle name="20% - Accent6 18" xfId="376" xr:uid="{00000000-0005-0000-0000-0000B8000000}"/>
    <cellStyle name="20% - Accent6 19" xfId="390" xr:uid="{00000000-0005-0000-0000-0000B9000000}"/>
    <cellStyle name="20% - Accent6 2" xfId="125" xr:uid="{00000000-0005-0000-0000-0000BA000000}"/>
    <cellStyle name="20% - Accent6 20" xfId="404" xr:uid="{00000000-0005-0000-0000-0000BB000000}"/>
    <cellStyle name="20% - Accent6 21" xfId="418" xr:uid="{00000000-0005-0000-0000-0000BC000000}"/>
    <cellStyle name="20% - Accent6 22" xfId="432" xr:uid="{00000000-0005-0000-0000-0000BD000000}"/>
    <cellStyle name="20% - Accent6 23" xfId="446" xr:uid="{00000000-0005-0000-0000-0000BE000000}"/>
    <cellStyle name="20% - Accent6 24" xfId="460" xr:uid="{00000000-0005-0000-0000-0000BF000000}"/>
    <cellStyle name="20% - Accent6 25" xfId="474" xr:uid="{00000000-0005-0000-0000-0000C0000000}"/>
    <cellStyle name="20% - Accent6 26" xfId="488" xr:uid="{00000000-0005-0000-0000-0000C1000000}"/>
    <cellStyle name="20% - Accent6 27" xfId="502" xr:uid="{00000000-0005-0000-0000-0000C2000000}"/>
    <cellStyle name="20% - Accent6 28" xfId="516" xr:uid="{00000000-0005-0000-0000-0000C3000000}"/>
    <cellStyle name="20% - Accent6 29" xfId="530" xr:uid="{00000000-0005-0000-0000-0000C4000000}"/>
    <cellStyle name="20% - Accent6 3" xfId="139" xr:uid="{00000000-0005-0000-0000-0000C5000000}"/>
    <cellStyle name="20% - Accent6 30" xfId="544" xr:uid="{00000000-0005-0000-0000-0000C6000000}"/>
    <cellStyle name="20% - Accent6 31" xfId="558" xr:uid="{00000000-0005-0000-0000-0000C7000000}"/>
    <cellStyle name="20% - Accent6 32" xfId="572" xr:uid="{00000000-0005-0000-0000-0000C8000000}"/>
    <cellStyle name="20% - Accent6 33" xfId="586" xr:uid="{00000000-0005-0000-0000-0000C9000000}"/>
    <cellStyle name="20% - Accent6 34" xfId="600" xr:uid="{00000000-0005-0000-0000-0000CA000000}"/>
    <cellStyle name="20% - Accent6 35" xfId="615" xr:uid="{00000000-0005-0000-0000-0000CB000000}"/>
    <cellStyle name="20% - Accent6 4" xfId="153" xr:uid="{00000000-0005-0000-0000-0000CC000000}"/>
    <cellStyle name="20% - Accent6 5" xfId="167" xr:uid="{00000000-0005-0000-0000-0000CD000000}"/>
    <cellStyle name="20% - Accent6 6" xfId="181" xr:uid="{00000000-0005-0000-0000-0000CE000000}"/>
    <cellStyle name="20% - Accent6 7" xfId="195" xr:uid="{00000000-0005-0000-0000-0000CF000000}"/>
    <cellStyle name="20% - Accent6 8" xfId="209" xr:uid="{00000000-0005-0000-0000-0000D0000000}"/>
    <cellStyle name="20% - Accent6 9" xfId="223" xr:uid="{00000000-0005-0000-0000-0000D1000000}"/>
    <cellStyle name="40% - Accent1" xfId="7" builtinId="31" customBuiltin="1"/>
    <cellStyle name="40% - Accent1 10" xfId="228" xr:uid="{00000000-0005-0000-0000-0000D3000000}"/>
    <cellStyle name="40% - Accent1 11" xfId="242" xr:uid="{00000000-0005-0000-0000-0000D4000000}"/>
    <cellStyle name="40% - Accent1 12" xfId="272" xr:uid="{00000000-0005-0000-0000-0000D5000000}"/>
    <cellStyle name="40% - Accent1 13" xfId="297" xr:uid="{00000000-0005-0000-0000-0000D6000000}"/>
    <cellStyle name="40% - Accent1 14" xfId="311" xr:uid="{00000000-0005-0000-0000-0000D7000000}"/>
    <cellStyle name="40% - Accent1 15" xfId="325" xr:uid="{00000000-0005-0000-0000-0000D8000000}"/>
    <cellStyle name="40% - Accent1 16" xfId="339" xr:uid="{00000000-0005-0000-0000-0000D9000000}"/>
    <cellStyle name="40% - Accent1 17" xfId="353" xr:uid="{00000000-0005-0000-0000-0000DA000000}"/>
    <cellStyle name="40% - Accent1 18" xfId="367" xr:uid="{00000000-0005-0000-0000-0000DB000000}"/>
    <cellStyle name="40% - Accent1 19" xfId="381" xr:uid="{00000000-0005-0000-0000-0000DC000000}"/>
    <cellStyle name="40% - Accent1 2" xfId="116" xr:uid="{00000000-0005-0000-0000-0000DD000000}"/>
    <cellStyle name="40% - Accent1 20" xfId="395" xr:uid="{00000000-0005-0000-0000-0000DE000000}"/>
    <cellStyle name="40% - Accent1 21" xfId="409" xr:uid="{00000000-0005-0000-0000-0000DF000000}"/>
    <cellStyle name="40% - Accent1 22" xfId="423" xr:uid="{00000000-0005-0000-0000-0000E0000000}"/>
    <cellStyle name="40% - Accent1 23" xfId="437" xr:uid="{00000000-0005-0000-0000-0000E1000000}"/>
    <cellStyle name="40% - Accent1 24" xfId="451" xr:uid="{00000000-0005-0000-0000-0000E2000000}"/>
    <cellStyle name="40% - Accent1 25" xfId="465" xr:uid="{00000000-0005-0000-0000-0000E3000000}"/>
    <cellStyle name="40% - Accent1 26" xfId="479" xr:uid="{00000000-0005-0000-0000-0000E4000000}"/>
    <cellStyle name="40% - Accent1 27" xfId="493" xr:uid="{00000000-0005-0000-0000-0000E5000000}"/>
    <cellStyle name="40% - Accent1 28" xfId="507" xr:uid="{00000000-0005-0000-0000-0000E6000000}"/>
    <cellStyle name="40% - Accent1 29" xfId="521" xr:uid="{00000000-0005-0000-0000-0000E7000000}"/>
    <cellStyle name="40% - Accent1 3" xfId="130" xr:uid="{00000000-0005-0000-0000-0000E8000000}"/>
    <cellStyle name="40% - Accent1 30" xfId="535" xr:uid="{00000000-0005-0000-0000-0000E9000000}"/>
    <cellStyle name="40% - Accent1 31" xfId="549" xr:uid="{00000000-0005-0000-0000-0000EA000000}"/>
    <cellStyle name="40% - Accent1 32" xfId="563" xr:uid="{00000000-0005-0000-0000-0000EB000000}"/>
    <cellStyle name="40% - Accent1 33" xfId="577" xr:uid="{00000000-0005-0000-0000-0000EC000000}"/>
    <cellStyle name="40% - Accent1 34" xfId="591" xr:uid="{00000000-0005-0000-0000-0000ED000000}"/>
    <cellStyle name="40% - Accent1 35" xfId="606" xr:uid="{00000000-0005-0000-0000-0000EE000000}"/>
    <cellStyle name="40% - Accent1 4" xfId="144" xr:uid="{00000000-0005-0000-0000-0000EF000000}"/>
    <cellStyle name="40% - Accent1 5" xfId="158" xr:uid="{00000000-0005-0000-0000-0000F0000000}"/>
    <cellStyle name="40% - Accent1 6" xfId="172" xr:uid="{00000000-0005-0000-0000-0000F1000000}"/>
    <cellStyle name="40% - Accent1 7" xfId="186" xr:uid="{00000000-0005-0000-0000-0000F2000000}"/>
    <cellStyle name="40% - Accent1 8" xfId="200" xr:uid="{00000000-0005-0000-0000-0000F3000000}"/>
    <cellStyle name="40% - Accent1 9" xfId="214" xr:uid="{00000000-0005-0000-0000-0000F4000000}"/>
    <cellStyle name="40% - Accent2" xfId="8" builtinId="35" customBuiltin="1"/>
    <cellStyle name="40% - Accent2 10" xfId="230" xr:uid="{00000000-0005-0000-0000-0000F6000000}"/>
    <cellStyle name="40% - Accent2 11" xfId="244" xr:uid="{00000000-0005-0000-0000-0000F7000000}"/>
    <cellStyle name="40% - Accent2 12" xfId="276" xr:uid="{00000000-0005-0000-0000-0000F8000000}"/>
    <cellStyle name="40% - Accent2 13" xfId="299" xr:uid="{00000000-0005-0000-0000-0000F9000000}"/>
    <cellStyle name="40% - Accent2 14" xfId="313" xr:uid="{00000000-0005-0000-0000-0000FA000000}"/>
    <cellStyle name="40% - Accent2 15" xfId="327" xr:uid="{00000000-0005-0000-0000-0000FB000000}"/>
    <cellStyle name="40% - Accent2 16" xfId="341" xr:uid="{00000000-0005-0000-0000-0000FC000000}"/>
    <cellStyle name="40% - Accent2 17" xfId="355" xr:uid="{00000000-0005-0000-0000-0000FD000000}"/>
    <cellStyle name="40% - Accent2 18" xfId="369" xr:uid="{00000000-0005-0000-0000-0000FE000000}"/>
    <cellStyle name="40% - Accent2 19" xfId="383" xr:uid="{00000000-0005-0000-0000-0000FF000000}"/>
    <cellStyle name="40% - Accent2 2" xfId="118" xr:uid="{00000000-0005-0000-0000-000000010000}"/>
    <cellStyle name="40% - Accent2 20" xfId="397" xr:uid="{00000000-0005-0000-0000-000001010000}"/>
    <cellStyle name="40% - Accent2 21" xfId="411" xr:uid="{00000000-0005-0000-0000-000002010000}"/>
    <cellStyle name="40% - Accent2 22" xfId="425" xr:uid="{00000000-0005-0000-0000-000003010000}"/>
    <cellStyle name="40% - Accent2 23" xfId="439" xr:uid="{00000000-0005-0000-0000-000004010000}"/>
    <cellStyle name="40% - Accent2 24" xfId="453" xr:uid="{00000000-0005-0000-0000-000005010000}"/>
    <cellStyle name="40% - Accent2 25" xfId="467" xr:uid="{00000000-0005-0000-0000-000006010000}"/>
    <cellStyle name="40% - Accent2 26" xfId="481" xr:uid="{00000000-0005-0000-0000-000007010000}"/>
    <cellStyle name="40% - Accent2 27" xfId="495" xr:uid="{00000000-0005-0000-0000-000008010000}"/>
    <cellStyle name="40% - Accent2 28" xfId="509" xr:uid="{00000000-0005-0000-0000-000009010000}"/>
    <cellStyle name="40% - Accent2 29" xfId="523" xr:uid="{00000000-0005-0000-0000-00000A010000}"/>
    <cellStyle name="40% - Accent2 3" xfId="132" xr:uid="{00000000-0005-0000-0000-00000B010000}"/>
    <cellStyle name="40% - Accent2 30" xfId="537" xr:uid="{00000000-0005-0000-0000-00000C010000}"/>
    <cellStyle name="40% - Accent2 31" xfId="551" xr:uid="{00000000-0005-0000-0000-00000D010000}"/>
    <cellStyle name="40% - Accent2 32" xfId="565" xr:uid="{00000000-0005-0000-0000-00000E010000}"/>
    <cellStyle name="40% - Accent2 33" xfId="579" xr:uid="{00000000-0005-0000-0000-00000F010000}"/>
    <cellStyle name="40% - Accent2 34" xfId="593" xr:uid="{00000000-0005-0000-0000-000010010000}"/>
    <cellStyle name="40% - Accent2 35" xfId="608" xr:uid="{00000000-0005-0000-0000-000011010000}"/>
    <cellStyle name="40% - Accent2 4" xfId="146" xr:uid="{00000000-0005-0000-0000-000012010000}"/>
    <cellStyle name="40% - Accent2 5" xfId="160" xr:uid="{00000000-0005-0000-0000-000013010000}"/>
    <cellStyle name="40% - Accent2 6" xfId="174" xr:uid="{00000000-0005-0000-0000-000014010000}"/>
    <cellStyle name="40% - Accent2 7" xfId="188" xr:uid="{00000000-0005-0000-0000-000015010000}"/>
    <cellStyle name="40% - Accent2 8" xfId="202" xr:uid="{00000000-0005-0000-0000-000016010000}"/>
    <cellStyle name="40% - Accent2 9" xfId="216" xr:uid="{00000000-0005-0000-0000-000017010000}"/>
    <cellStyle name="40% - Accent3" xfId="9" builtinId="39" customBuiltin="1"/>
    <cellStyle name="40% - Accent3 10" xfId="232" xr:uid="{00000000-0005-0000-0000-000019010000}"/>
    <cellStyle name="40% - Accent3 11" xfId="246" xr:uid="{00000000-0005-0000-0000-00001A010000}"/>
    <cellStyle name="40% - Accent3 12" xfId="280" xr:uid="{00000000-0005-0000-0000-00001B010000}"/>
    <cellStyle name="40% - Accent3 13" xfId="301" xr:uid="{00000000-0005-0000-0000-00001C010000}"/>
    <cellStyle name="40% - Accent3 14" xfId="315" xr:uid="{00000000-0005-0000-0000-00001D010000}"/>
    <cellStyle name="40% - Accent3 15" xfId="329" xr:uid="{00000000-0005-0000-0000-00001E010000}"/>
    <cellStyle name="40% - Accent3 16" xfId="343" xr:uid="{00000000-0005-0000-0000-00001F010000}"/>
    <cellStyle name="40% - Accent3 17" xfId="357" xr:uid="{00000000-0005-0000-0000-000020010000}"/>
    <cellStyle name="40% - Accent3 18" xfId="371" xr:uid="{00000000-0005-0000-0000-000021010000}"/>
    <cellStyle name="40% - Accent3 19" xfId="385" xr:uid="{00000000-0005-0000-0000-000022010000}"/>
    <cellStyle name="40% - Accent3 2" xfId="120" xr:uid="{00000000-0005-0000-0000-000023010000}"/>
    <cellStyle name="40% - Accent3 20" xfId="399" xr:uid="{00000000-0005-0000-0000-000024010000}"/>
    <cellStyle name="40% - Accent3 21" xfId="413" xr:uid="{00000000-0005-0000-0000-000025010000}"/>
    <cellStyle name="40% - Accent3 22" xfId="427" xr:uid="{00000000-0005-0000-0000-000026010000}"/>
    <cellStyle name="40% - Accent3 23" xfId="441" xr:uid="{00000000-0005-0000-0000-000027010000}"/>
    <cellStyle name="40% - Accent3 24" xfId="455" xr:uid="{00000000-0005-0000-0000-000028010000}"/>
    <cellStyle name="40% - Accent3 25" xfId="469" xr:uid="{00000000-0005-0000-0000-000029010000}"/>
    <cellStyle name="40% - Accent3 26" xfId="483" xr:uid="{00000000-0005-0000-0000-00002A010000}"/>
    <cellStyle name="40% - Accent3 27" xfId="497" xr:uid="{00000000-0005-0000-0000-00002B010000}"/>
    <cellStyle name="40% - Accent3 28" xfId="511" xr:uid="{00000000-0005-0000-0000-00002C010000}"/>
    <cellStyle name="40% - Accent3 29" xfId="525" xr:uid="{00000000-0005-0000-0000-00002D010000}"/>
    <cellStyle name="40% - Accent3 3" xfId="134" xr:uid="{00000000-0005-0000-0000-00002E010000}"/>
    <cellStyle name="40% - Accent3 30" xfId="539" xr:uid="{00000000-0005-0000-0000-00002F010000}"/>
    <cellStyle name="40% - Accent3 31" xfId="553" xr:uid="{00000000-0005-0000-0000-000030010000}"/>
    <cellStyle name="40% - Accent3 32" xfId="567" xr:uid="{00000000-0005-0000-0000-000031010000}"/>
    <cellStyle name="40% - Accent3 33" xfId="581" xr:uid="{00000000-0005-0000-0000-000032010000}"/>
    <cellStyle name="40% - Accent3 34" xfId="595" xr:uid="{00000000-0005-0000-0000-000033010000}"/>
    <cellStyle name="40% - Accent3 35" xfId="610" xr:uid="{00000000-0005-0000-0000-000034010000}"/>
    <cellStyle name="40% - Accent3 4" xfId="148" xr:uid="{00000000-0005-0000-0000-000035010000}"/>
    <cellStyle name="40% - Accent3 5" xfId="162" xr:uid="{00000000-0005-0000-0000-000036010000}"/>
    <cellStyle name="40% - Accent3 6" xfId="176" xr:uid="{00000000-0005-0000-0000-000037010000}"/>
    <cellStyle name="40% - Accent3 7" xfId="190" xr:uid="{00000000-0005-0000-0000-000038010000}"/>
    <cellStyle name="40% - Accent3 8" xfId="204" xr:uid="{00000000-0005-0000-0000-000039010000}"/>
    <cellStyle name="40% - Accent3 9" xfId="218" xr:uid="{00000000-0005-0000-0000-00003A010000}"/>
    <cellStyle name="40% - Accent4" xfId="10" builtinId="43" customBuiltin="1"/>
    <cellStyle name="40% - Accent4 10" xfId="234" xr:uid="{00000000-0005-0000-0000-00003C010000}"/>
    <cellStyle name="40% - Accent4 11" xfId="248" xr:uid="{00000000-0005-0000-0000-00003D010000}"/>
    <cellStyle name="40% - Accent4 12" xfId="284" xr:uid="{00000000-0005-0000-0000-00003E010000}"/>
    <cellStyle name="40% - Accent4 13" xfId="303" xr:uid="{00000000-0005-0000-0000-00003F010000}"/>
    <cellStyle name="40% - Accent4 14" xfId="317" xr:uid="{00000000-0005-0000-0000-000040010000}"/>
    <cellStyle name="40% - Accent4 15" xfId="331" xr:uid="{00000000-0005-0000-0000-000041010000}"/>
    <cellStyle name="40% - Accent4 16" xfId="345" xr:uid="{00000000-0005-0000-0000-000042010000}"/>
    <cellStyle name="40% - Accent4 17" xfId="359" xr:uid="{00000000-0005-0000-0000-000043010000}"/>
    <cellStyle name="40% - Accent4 18" xfId="373" xr:uid="{00000000-0005-0000-0000-000044010000}"/>
    <cellStyle name="40% - Accent4 19" xfId="387" xr:uid="{00000000-0005-0000-0000-000045010000}"/>
    <cellStyle name="40% - Accent4 2" xfId="122" xr:uid="{00000000-0005-0000-0000-000046010000}"/>
    <cellStyle name="40% - Accent4 20" xfId="401" xr:uid="{00000000-0005-0000-0000-000047010000}"/>
    <cellStyle name="40% - Accent4 21" xfId="415" xr:uid="{00000000-0005-0000-0000-000048010000}"/>
    <cellStyle name="40% - Accent4 22" xfId="429" xr:uid="{00000000-0005-0000-0000-000049010000}"/>
    <cellStyle name="40% - Accent4 23" xfId="443" xr:uid="{00000000-0005-0000-0000-00004A010000}"/>
    <cellStyle name="40% - Accent4 24" xfId="457" xr:uid="{00000000-0005-0000-0000-00004B010000}"/>
    <cellStyle name="40% - Accent4 25" xfId="471" xr:uid="{00000000-0005-0000-0000-00004C010000}"/>
    <cellStyle name="40% - Accent4 26" xfId="485" xr:uid="{00000000-0005-0000-0000-00004D010000}"/>
    <cellStyle name="40% - Accent4 27" xfId="499" xr:uid="{00000000-0005-0000-0000-00004E010000}"/>
    <cellStyle name="40% - Accent4 28" xfId="513" xr:uid="{00000000-0005-0000-0000-00004F010000}"/>
    <cellStyle name="40% - Accent4 29" xfId="527" xr:uid="{00000000-0005-0000-0000-000050010000}"/>
    <cellStyle name="40% - Accent4 3" xfId="136" xr:uid="{00000000-0005-0000-0000-000051010000}"/>
    <cellStyle name="40% - Accent4 30" xfId="541" xr:uid="{00000000-0005-0000-0000-000052010000}"/>
    <cellStyle name="40% - Accent4 31" xfId="555" xr:uid="{00000000-0005-0000-0000-000053010000}"/>
    <cellStyle name="40% - Accent4 32" xfId="569" xr:uid="{00000000-0005-0000-0000-000054010000}"/>
    <cellStyle name="40% - Accent4 33" xfId="583" xr:uid="{00000000-0005-0000-0000-000055010000}"/>
    <cellStyle name="40% - Accent4 34" xfId="597" xr:uid="{00000000-0005-0000-0000-000056010000}"/>
    <cellStyle name="40% - Accent4 35" xfId="612" xr:uid="{00000000-0005-0000-0000-000057010000}"/>
    <cellStyle name="40% - Accent4 4" xfId="150" xr:uid="{00000000-0005-0000-0000-000058010000}"/>
    <cellStyle name="40% - Accent4 5" xfId="164" xr:uid="{00000000-0005-0000-0000-000059010000}"/>
    <cellStyle name="40% - Accent4 6" xfId="178" xr:uid="{00000000-0005-0000-0000-00005A010000}"/>
    <cellStyle name="40% - Accent4 7" xfId="192" xr:uid="{00000000-0005-0000-0000-00005B010000}"/>
    <cellStyle name="40% - Accent4 8" xfId="206" xr:uid="{00000000-0005-0000-0000-00005C010000}"/>
    <cellStyle name="40% - Accent4 9" xfId="220" xr:uid="{00000000-0005-0000-0000-00005D010000}"/>
    <cellStyle name="40% - Accent5" xfId="11" builtinId="47" customBuiltin="1"/>
    <cellStyle name="40% - Accent5 10" xfId="236" xr:uid="{00000000-0005-0000-0000-00005F010000}"/>
    <cellStyle name="40% - Accent5 11" xfId="250" xr:uid="{00000000-0005-0000-0000-000060010000}"/>
    <cellStyle name="40% - Accent5 12" xfId="288" xr:uid="{00000000-0005-0000-0000-000061010000}"/>
    <cellStyle name="40% - Accent5 13" xfId="305" xr:uid="{00000000-0005-0000-0000-000062010000}"/>
    <cellStyle name="40% - Accent5 14" xfId="319" xr:uid="{00000000-0005-0000-0000-000063010000}"/>
    <cellStyle name="40% - Accent5 15" xfId="333" xr:uid="{00000000-0005-0000-0000-000064010000}"/>
    <cellStyle name="40% - Accent5 16" xfId="347" xr:uid="{00000000-0005-0000-0000-000065010000}"/>
    <cellStyle name="40% - Accent5 17" xfId="361" xr:uid="{00000000-0005-0000-0000-000066010000}"/>
    <cellStyle name="40% - Accent5 18" xfId="375" xr:uid="{00000000-0005-0000-0000-000067010000}"/>
    <cellStyle name="40% - Accent5 19" xfId="389" xr:uid="{00000000-0005-0000-0000-000068010000}"/>
    <cellStyle name="40% - Accent5 2" xfId="124" xr:uid="{00000000-0005-0000-0000-000069010000}"/>
    <cellStyle name="40% - Accent5 20" xfId="403" xr:uid="{00000000-0005-0000-0000-00006A010000}"/>
    <cellStyle name="40% - Accent5 21" xfId="417" xr:uid="{00000000-0005-0000-0000-00006B010000}"/>
    <cellStyle name="40% - Accent5 22" xfId="431" xr:uid="{00000000-0005-0000-0000-00006C010000}"/>
    <cellStyle name="40% - Accent5 23" xfId="445" xr:uid="{00000000-0005-0000-0000-00006D010000}"/>
    <cellStyle name="40% - Accent5 24" xfId="459" xr:uid="{00000000-0005-0000-0000-00006E010000}"/>
    <cellStyle name="40% - Accent5 25" xfId="473" xr:uid="{00000000-0005-0000-0000-00006F010000}"/>
    <cellStyle name="40% - Accent5 26" xfId="487" xr:uid="{00000000-0005-0000-0000-000070010000}"/>
    <cellStyle name="40% - Accent5 27" xfId="501" xr:uid="{00000000-0005-0000-0000-000071010000}"/>
    <cellStyle name="40% - Accent5 28" xfId="515" xr:uid="{00000000-0005-0000-0000-000072010000}"/>
    <cellStyle name="40% - Accent5 29" xfId="529" xr:uid="{00000000-0005-0000-0000-000073010000}"/>
    <cellStyle name="40% - Accent5 3" xfId="138" xr:uid="{00000000-0005-0000-0000-000074010000}"/>
    <cellStyle name="40% - Accent5 30" xfId="543" xr:uid="{00000000-0005-0000-0000-000075010000}"/>
    <cellStyle name="40% - Accent5 31" xfId="557" xr:uid="{00000000-0005-0000-0000-000076010000}"/>
    <cellStyle name="40% - Accent5 32" xfId="571" xr:uid="{00000000-0005-0000-0000-000077010000}"/>
    <cellStyle name="40% - Accent5 33" xfId="585" xr:uid="{00000000-0005-0000-0000-000078010000}"/>
    <cellStyle name="40% - Accent5 34" xfId="599" xr:uid="{00000000-0005-0000-0000-000079010000}"/>
    <cellStyle name="40% - Accent5 35" xfId="614" xr:uid="{00000000-0005-0000-0000-00007A010000}"/>
    <cellStyle name="40% - Accent5 4" xfId="152" xr:uid="{00000000-0005-0000-0000-00007B010000}"/>
    <cellStyle name="40% - Accent5 5" xfId="166" xr:uid="{00000000-0005-0000-0000-00007C010000}"/>
    <cellStyle name="40% - Accent5 6" xfId="180" xr:uid="{00000000-0005-0000-0000-00007D010000}"/>
    <cellStyle name="40% - Accent5 7" xfId="194" xr:uid="{00000000-0005-0000-0000-00007E010000}"/>
    <cellStyle name="40% - Accent5 8" xfId="208" xr:uid="{00000000-0005-0000-0000-00007F010000}"/>
    <cellStyle name="40% - Accent5 9" xfId="222" xr:uid="{00000000-0005-0000-0000-000080010000}"/>
    <cellStyle name="40% - Accent6" xfId="12" builtinId="51" customBuiltin="1"/>
    <cellStyle name="40% - Accent6 10" xfId="238" xr:uid="{00000000-0005-0000-0000-000082010000}"/>
    <cellStyle name="40% - Accent6 11" xfId="252" xr:uid="{00000000-0005-0000-0000-000083010000}"/>
    <cellStyle name="40% - Accent6 12" xfId="292" xr:uid="{00000000-0005-0000-0000-000084010000}"/>
    <cellStyle name="40% - Accent6 13" xfId="307" xr:uid="{00000000-0005-0000-0000-000085010000}"/>
    <cellStyle name="40% - Accent6 14" xfId="321" xr:uid="{00000000-0005-0000-0000-000086010000}"/>
    <cellStyle name="40% - Accent6 15" xfId="335" xr:uid="{00000000-0005-0000-0000-000087010000}"/>
    <cellStyle name="40% - Accent6 16" xfId="349" xr:uid="{00000000-0005-0000-0000-000088010000}"/>
    <cellStyle name="40% - Accent6 17" xfId="363" xr:uid="{00000000-0005-0000-0000-000089010000}"/>
    <cellStyle name="40% - Accent6 18" xfId="377" xr:uid="{00000000-0005-0000-0000-00008A010000}"/>
    <cellStyle name="40% - Accent6 19" xfId="391" xr:uid="{00000000-0005-0000-0000-00008B010000}"/>
    <cellStyle name="40% - Accent6 2" xfId="126" xr:uid="{00000000-0005-0000-0000-00008C010000}"/>
    <cellStyle name="40% - Accent6 20" xfId="405" xr:uid="{00000000-0005-0000-0000-00008D010000}"/>
    <cellStyle name="40% - Accent6 21" xfId="419" xr:uid="{00000000-0005-0000-0000-00008E010000}"/>
    <cellStyle name="40% - Accent6 22" xfId="433" xr:uid="{00000000-0005-0000-0000-00008F010000}"/>
    <cellStyle name="40% - Accent6 23" xfId="447" xr:uid="{00000000-0005-0000-0000-000090010000}"/>
    <cellStyle name="40% - Accent6 24" xfId="461" xr:uid="{00000000-0005-0000-0000-000091010000}"/>
    <cellStyle name="40% - Accent6 25" xfId="475" xr:uid="{00000000-0005-0000-0000-000092010000}"/>
    <cellStyle name="40% - Accent6 26" xfId="489" xr:uid="{00000000-0005-0000-0000-000093010000}"/>
    <cellStyle name="40% - Accent6 27" xfId="503" xr:uid="{00000000-0005-0000-0000-000094010000}"/>
    <cellStyle name="40% - Accent6 28" xfId="517" xr:uid="{00000000-0005-0000-0000-000095010000}"/>
    <cellStyle name="40% - Accent6 29" xfId="531" xr:uid="{00000000-0005-0000-0000-000096010000}"/>
    <cellStyle name="40% - Accent6 3" xfId="140" xr:uid="{00000000-0005-0000-0000-000097010000}"/>
    <cellStyle name="40% - Accent6 30" xfId="545" xr:uid="{00000000-0005-0000-0000-000098010000}"/>
    <cellStyle name="40% - Accent6 31" xfId="559" xr:uid="{00000000-0005-0000-0000-000099010000}"/>
    <cellStyle name="40% - Accent6 32" xfId="573" xr:uid="{00000000-0005-0000-0000-00009A010000}"/>
    <cellStyle name="40% - Accent6 33" xfId="587" xr:uid="{00000000-0005-0000-0000-00009B010000}"/>
    <cellStyle name="40% - Accent6 34" xfId="601" xr:uid="{00000000-0005-0000-0000-00009C010000}"/>
    <cellStyle name="40% - Accent6 35" xfId="616" xr:uid="{00000000-0005-0000-0000-00009D010000}"/>
    <cellStyle name="40% - Accent6 4" xfId="154" xr:uid="{00000000-0005-0000-0000-00009E010000}"/>
    <cellStyle name="40% - Accent6 5" xfId="168" xr:uid="{00000000-0005-0000-0000-00009F010000}"/>
    <cellStyle name="40% - Accent6 6" xfId="182" xr:uid="{00000000-0005-0000-0000-0000A0010000}"/>
    <cellStyle name="40% - Accent6 7" xfId="196" xr:uid="{00000000-0005-0000-0000-0000A1010000}"/>
    <cellStyle name="40% - Accent6 8" xfId="210" xr:uid="{00000000-0005-0000-0000-0000A2010000}"/>
    <cellStyle name="40% - Accent6 9" xfId="224" xr:uid="{00000000-0005-0000-0000-0000A3010000}"/>
    <cellStyle name="60% - Accent1" xfId="13" builtinId="32" customBuiltin="1"/>
    <cellStyle name="60% - Accent1 2" xfId="273" xr:uid="{00000000-0005-0000-0000-0000A5010000}"/>
    <cellStyle name="60% - Accent2" xfId="14" builtinId="36" customBuiltin="1"/>
    <cellStyle name="60% - Accent2 2" xfId="277" xr:uid="{00000000-0005-0000-0000-0000A7010000}"/>
    <cellStyle name="60% - Accent3" xfId="15" builtinId="40" customBuiltin="1"/>
    <cellStyle name="60% - Accent3 2" xfId="281" xr:uid="{00000000-0005-0000-0000-0000A9010000}"/>
    <cellStyle name="60% - Accent4" xfId="16" builtinId="44" customBuiltin="1"/>
    <cellStyle name="60% - Accent4 2" xfId="285" xr:uid="{00000000-0005-0000-0000-0000AB010000}"/>
    <cellStyle name="60% - Accent5" xfId="17" builtinId="48" customBuiltin="1"/>
    <cellStyle name="60% - Accent5 2" xfId="289" xr:uid="{00000000-0005-0000-0000-0000AD010000}"/>
    <cellStyle name="60% - Accent6" xfId="18" builtinId="52" customBuiltin="1"/>
    <cellStyle name="60% - Accent6 2" xfId="293" xr:uid="{00000000-0005-0000-0000-0000AF010000}"/>
    <cellStyle name="Accent1" xfId="19" builtinId="29" customBuiltin="1"/>
    <cellStyle name="Accent1 2" xfId="270" xr:uid="{00000000-0005-0000-0000-0000B1010000}"/>
    <cellStyle name="Accent2" xfId="20" builtinId="33" customBuiltin="1"/>
    <cellStyle name="Accent2 2" xfId="274" xr:uid="{00000000-0005-0000-0000-0000B3010000}"/>
    <cellStyle name="Accent3" xfId="21" builtinId="37" customBuiltin="1"/>
    <cellStyle name="Accent3 2" xfId="278" xr:uid="{00000000-0005-0000-0000-0000B5010000}"/>
    <cellStyle name="Accent4" xfId="22" builtinId="41" customBuiltin="1"/>
    <cellStyle name="Accent4 2" xfId="282" xr:uid="{00000000-0005-0000-0000-0000B7010000}"/>
    <cellStyle name="Accent5" xfId="23" builtinId="45" customBuiltin="1"/>
    <cellStyle name="Accent5 2" xfId="286" xr:uid="{00000000-0005-0000-0000-0000B9010000}"/>
    <cellStyle name="Accent6" xfId="24" builtinId="49" customBuiltin="1"/>
    <cellStyle name="Accent6 2" xfId="290" xr:uid="{00000000-0005-0000-0000-0000BB010000}"/>
    <cellStyle name="Bad" xfId="25" builtinId="27" customBuiltin="1"/>
    <cellStyle name="Bad 2" xfId="259" xr:uid="{00000000-0005-0000-0000-0000BD010000}"/>
    <cellStyle name="Calculation" xfId="26" builtinId="22" customBuiltin="1"/>
    <cellStyle name="Calculation 2" xfId="263" xr:uid="{00000000-0005-0000-0000-0000BF010000}"/>
    <cellStyle name="Check Cell" xfId="27" builtinId="23" customBuiltin="1"/>
    <cellStyle name="Check Cell 2" xfId="265" xr:uid="{00000000-0005-0000-0000-0000C1010000}"/>
    <cellStyle name="Explanatory Text" xfId="28" builtinId="53" customBuiltin="1"/>
    <cellStyle name="Explanatory Text 2" xfId="268" xr:uid="{00000000-0005-0000-0000-0000C3010000}"/>
    <cellStyle name="Good" xfId="29" builtinId="26" customBuiltin="1"/>
    <cellStyle name="Good 2" xfId="258" xr:uid="{00000000-0005-0000-0000-0000C5010000}"/>
    <cellStyle name="Heading 1" xfId="30" builtinId="16" customBuiltin="1"/>
    <cellStyle name="Heading 1 2" xfId="254" xr:uid="{00000000-0005-0000-0000-0000C7010000}"/>
    <cellStyle name="Heading 2" xfId="31" builtinId="17" customBuiltin="1"/>
    <cellStyle name="Heading 2 2" xfId="255" xr:uid="{00000000-0005-0000-0000-0000C9010000}"/>
    <cellStyle name="Heading 3" xfId="32" builtinId="18" customBuiltin="1"/>
    <cellStyle name="Heading 3 2" xfId="256" xr:uid="{00000000-0005-0000-0000-0000CB010000}"/>
    <cellStyle name="Heading 4" xfId="33" builtinId="19" customBuiltin="1"/>
    <cellStyle name="Heading 4 2" xfId="257" xr:uid="{00000000-0005-0000-0000-0000CD010000}"/>
    <cellStyle name="Input" xfId="34" builtinId="20" customBuiltin="1"/>
    <cellStyle name="Input 2" xfId="261" xr:uid="{00000000-0005-0000-0000-0000CF010000}"/>
    <cellStyle name="Linked Cell" xfId="35" builtinId="24" customBuiltin="1"/>
    <cellStyle name="Linked Cell 2" xfId="264" xr:uid="{00000000-0005-0000-0000-0000D1010000}"/>
    <cellStyle name="Neutral" xfId="36" builtinId="28" customBuiltin="1"/>
    <cellStyle name="Neutral 2" xfId="260" xr:uid="{00000000-0005-0000-0000-0000D3010000}"/>
    <cellStyle name="Normal" xfId="0" builtinId="0"/>
    <cellStyle name="Normal 10" xfId="225" xr:uid="{00000000-0005-0000-0000-0000D5010000}"/>
    <cellStyle name="Normal 11" xfId="239" xr:uid="{00000000-0005-0000-0000-0000D6010000}"/>
    <cellStyle name="Normal 12" xfId="253" xr:uid="{00000000-0005-0000-0000-0000D7010000}"/>
    <cellStyle name="Normal 13" xfId="294" xr:uid="{00000000-0005-0000-0000-0000D8010000}"/>
    <cellStyle name="Normal 14" xfId="308" xr:uid="{00000000-0005-0000-0000-0000D9010000}"/>
    <cellStyle name="Normal 15" xfId="322" xr:uid="{00000000-0005-0000-0000-0000DA010000}"/>
    <cellStyle name="Normal 16" xfId="336" xr:uid="{00000000-0005-0000-0000-0000DB010000}"/>
    <cellStyle name="Normal 17" xfId="350" xr:uid="{00000000-0005-0000-0000-0000DC010000}"/>
    <cellStyle name="Normal 18" xfId="364" xr:uid="{00000000-0005-0000-0000-0000DD010000}"/>
    <cellStyle name="Normal 19" xfId="378" xr:uid="{00000000-0005-0000-0000-0000DE010000}"/>
    <cellStyle name="Normal 2" xfId="113" xr:uid="{00000000-0005-0000-0000-0000DF010000}"/>
    <cellStyle name="Normal 20" xfId="392" xr:uid="{00000000-0005-0000-0000-0000E0010000}"/>
    <cellStyle name="Normal 21" xfId="406" xr:uid="{00000000-0005-0000-0000-0000E1010000}"/>
    <cellStyle name="Normal 22" xfId="420" xr:uid="{00000000-0005-0000-0000-0000E2010000}"/>
    <cellStyle name="Normal 23" xfId="434" xr:uid="{00000000-0005-0000-0000-0000E3010000}"/>
    <cellStyle name="Normal 24" xfId="448" xr:uid="{00000000-0005-0000-0000-0000E4010000}"/>
    <cellStyle name="Normal 25" xfId="462" xr:uid="{00000000-0005-0000-0000-0000E5010000}"/>
    <cellStyle name="Normal 26" xfId="476" xr:uid="{00000000-0005-0000-0000-0000E6010000}"/>
    <cellStyle name="Normal 27" xfId="490" xr:uid="{00000000-0005-0000-0000-0000E7010000}"/>
    <cellStyle name="Normal 28" xfId="504" xr:uid="{00000000-0005-0000-0000-0000E8010000}"/>
    <cellStyle name="Normal 29" xfId="518" xr:uid="{00000000-0005-0000-0000-0000E9010000}"/>
    <cellStyle name="Normal 3" xfId="127" xr:uid="{00000000-0005-0000-0000-0000EA010000}"/>
    <cellStyle name="Normal 30" xfId="37" xr:uid="{00000000-0005-0000-0000-0000EB010000}"/>
    <cellStyle name="Normal 31" xfId="38" xr:uid="{00000000-0005-0000-0000-0000EC010000}"/>
    <cellStyle name="Normal 32" xfId="532" xr:uid="{00000000-0005-0000-0000-0000ED010000}"/>
    <cellStyle name="Normal 33" xfId="546" xr:uid="{00000000-0005-0000-0000-0000EE010000}"/>
    <cellStyle name="Normal 34" xfId="560" xr:uid="{00000000-0005-0000-0000-0000EF010000}"/>
    <cellStyle name="Normal 35" xfId="574" xr:uid="{00000000-0005-0000-0000-0000F0010000}"/>
    <cellStyle name="Normal 36" xfId="588" xr:uid="{00000000-0005-0000-0000-0000F1010000}"/>
    <cellStyle name="Normal 37" xfId="602" xr:uid="{00000000-0005-0000-0000-0000F2010000}"/>
    <cellStyle name="Normal 4" xfId="141" xr:uid="{00000000-0005-0000-0000-0000F3010000}"/>
    <cellStyle name="Normal 5" xfId="155" xr:uid="{00000000-0005-0000-0000-0000F4010000}"/>
    <cellStyle name="Normal 53" xfId="39" xr:uid="{00000000-0005-0000-0000-0000F5010000}"/>
    <cellStyle name="Normal 58" xfId="40" xr:uid="{00000000-0005-0000-0000-0000F6010000}"/>
    <cellStyle name="Normal 59" xfId="41" xr:uid="{00000000-0005-0000-0000-0000F7010000}"/>
    <cellStyle name="Normal 6" xfId="169" xr:uid="{00000000-0005-0000-0000-0000F8010000}"/>
    <cellStyle name="Normal 61" xfId="42" xr:uid="{00000000-0005-0000-0000-0000F9010000}"/>
    <cellStyle name="Normal 66" xfId="43" xr:uid="{00000000-0005-0000-0000-0000FA010000}"/>
    <cellStyle name="Normal 7" xfId="183" xr:uid="{00000000-0005-0000-0000-0000FB010000}"/>
    <cellStyle name="Normal 8" xfId="197" xr:uid="{00000000-0005-0000-0000-0000FC010000}"/>
    <cellStyle name="Normal 9" xfId="211" xr:uid="{00000000-0005-0000-0000-0000FD010000}"/>
    <cellStyle name="Note 10" xfId="44" xr:uid="{00000000-0005-0000-0000-0000FE010000}"/>
    <cellStyle name="Note 100" xfId="604" xr:uid="{00000000-0005-0000-0000-0000FF010000}"/>
    <cellStyle name="Note 11" xfId="45" xr:uid="{00000000-0005-0000-0000-000000020000}"/>
    <cellStyle name="Note 12" xfId="46" xr:uid="{00000000-0005-0000-0000-000001020000}"/>
    <cellStyle name="Note 13" xfId="47" xr:uid="{00000000-0005-0000-0000-000002020000}"/>
    <cellStyle name="Note 14" xfId="48" xr:uid="{00000000-0005-0000-0000-000003020000}"/>
    <cellStyle name="Note 15" xfId="49" xr:uid="{00000000-0005-0000-0000-000004020000}"/>
    <cellStyle name="Note 16" xfId="50" xr:uid="{00000000-0005-0000-0000-000005020000}"/>
    <cellStyle name="Note 17" xfId="51" xr:uid="{00000000-0005-0000-0000-000006020000}"/>
    <cellStyle name="Note 18" xfId="52" xr:uid="{00000000-0005-0000-0000-000007020000}"/>
    <cellStyle name="Note 19" xfId="53" xr:uid="{00000000-0005-0000-0000-000008020000}"/>
    <cellStyle name="Note 2" xfId="54" xr:uid="{00000000-0005-0000-0000-000009020000}"/>
    <cellStyle name="Note 20" xfId="55" xr:uid="{00000000-0005-0000-0000-00000A020000}"/>
    <cellStyle name="Note 21" xfId="56" xr:uid="{00000000-0005-0000-0000-00000B020000}"/>
    <cellStyle name="Note 22" xfId="57" xr:uid="{00000000-0005-0000-0000-00000C020000}"/>
    <cellStyle name="Note 23" xfId="58" xr:uid="{00000000-0005-0000-0000-00000D020000}"/>
    <cellStyle name="Note 24" xfId="59" xr:uid="{00000000-0005-0000-0000-00000E020000}"/>
    <cellStyle name="Note 25" xfId="60" xr:uid="{00000000-0005-0000-0000-00000F020000}"/>
    <cellStyle name="Note 26" xfId="61" xr:uid="{00000000-0005-0000-0000-000010020000}"/>
    <cellStyle name="Note 27" xfId="62" xr:uid="{00000000-0005-0000-0000-000011020000}"/>
    <cellStyle name="Note 28" xfId="63" xr:uid="{00000000-0005-0000-0000-000012020000}"/>
    <cellStyle name="Note 29" xfId="64" xr:uid="{00000000-0005-0000-0000-000013020000}"/>
    <cellStyle name="Note 3" xfId="65" xr:uid="{00000000-0005-0000-0000-000014020000}"/>
    <cellStyle name="Note 30" xfId="66" xr:uid="{00000000-0005-0000-0000-000015020000}"/>
    <cellStyle name="Note 31" xfId="67" xr:uid="{00000000-0005-0000-0000-000016020000}"/>
    <cellStyle name="Note 32" xfId="68" xr:uid="{00000000-0005-0000-0000-000017020000}"/>
    <cellStyle name="Note 33" xfId="69" xr:uid="{00000000-0005-0000-0000-000018020000}"/>
    <cellStyle name="Note 34" xfId="70" xr:uid="{00000000-0005-0000-0000-000019020000}"/>
    <cellStyle name="Note 35" xfId="71" xr:uid="{00000000-0005-0000-0000-00001A020000}"/>
    <cellStyle name="Note 36" xfId="72" xr:uid="{00000000-0005-0000-0000-00001B020000}"/>
    <cellStyle name="Note 37" xfId="73" xr:uid="{00000000-0005-0000-0000-00001C020000}"/>
    <cellStyle name="Note 38" xfId="74" xr:uid="{00000000-0005-0000-0000-00001D020000}"/>
    <cellStyle name="Note 39" xfId="75" xr:uid="{00000000-0005-0000-0000-00001E020000}"/>
    <cellStyle name="Note 4" xfId="76" xr:uid="{00000000-0005-0000-0000-00001F020000}"/>
    <cellStyle name="Note 40" xfId="77" xr:uid="{00000000-0005-0000-0000-000020020000}"/>
    <cellStyle name="Note 41" xfId="78" xr:uid="{00000000-0005-0000-0000-000021020000}"/>
    <cellStyle name="Note 42" xfId="79" xr:uid="{00000000-0005-0000-0000-000022020000}"/>
    <cellStyle name="Note 43" xfId="80" xr:uid="{00000000-0005-0000-0000-000023020000}"/>
    <cellStyle name="Note 44" xfId="81" xr:uid="{00000000-0005-0000-0000-000024020000}"/>
    <cellStyle name="Note 45" xfId="82" xr:uid="{00000000-0005-0000-0000-000025020000}"/>
    <cellStyle name="Note 46" xfId="83" xr:uid="{00000000-0005-0000-0000-000026020000}"/>
    <cellStyle name="Note 47" xfId="84" xr:uid="{00000000-0005-0000-0000-000027020000}"/>
    <cellStyle name="Note 48" xfId="85" xr:uid="{00000000-0005-0000-0000-000028020000}"/>
    <cellStyle name="Note 49" xfId="86" xr:uid="{00000000-0005-0000-0000-000029020000}"/>
    <cellStyle name="Note 5" xfId="87" xr:uid="{00000000-0005-0000-0000-00002A020000}"/>
    <cellStyle name="Note 50" xfId="88" xr:uid="{00000000-0005-0000-0000-00002B020000}"/>
    <cellStyle name="Note 51" xfId="89" xr:uid="{00000000-0005-0000-0000-00002C020000}"/>
    <cellStyle name="Note 52" xfId="90" xr:uid="{00000000-0005-0000-0000-00002D020000}"/>
    <cellStyle name="Note 53" xfId="91" xr:uid="{00000000-0005-0000-0000-00002E020000}"/>
    <cellStyle name="Note 54" xfId="92" xr:uid="{00000000-0005-0000-0000-00002F020000}"/>
    <cellStyle name="Note 55" xfId="93" xr:uid="{00000000-0005-0000-0000-000030020000}"/>
    <cellStyle name="Note 56" xfId="94" xr:uid="{00000000-0005-0000-0000-000031020000}"/>
    <cellStyle name="Note 57" xfId="95" xr:uid="{00000000-0005-0000-0000-000032020000}"/>
    <cellStyle name="Note 58" xfId="96" xr:uid="{00000000-0005-0000-0000-000033020000}"/>
    <cellStyle name="Note 59" xfId="97" xr:uid="{00000000-0005-0000-0000-000034020000}"/>
    <cellStyle name="Note 6" xfId="98" xr:uid="{00000000-0005-0000-0000-000035020000}"/>
    <cellStyle name="Note 60" xfId="99" xr:uid="{00000000-0005-0000-0000-000036020000}"/>
    <cellStyle name="Note 61" xfId="100" xr:uid="{00000000-0005-0000-0000-000037020000}"/>
    <cellStyle name="Note 62" xfId="101" xr:uid="{00000000-0005-0000-0000-000038020000}"/>
    <cellStyle name="Note 63" xfId="102" xr:uid="{00000000-0005-0000-0000-000039020000}"/>
    <cellStyle name="Note 64" xfId="103" xr:uid="{00000000-0005-0000-0000-00003A020000}"/>
    <cellStyle name="Note 65" xfId="104" xr:uid="{00000000-0005-0000-0000-00003B020000}"/>
    <cellStyle name="Note 66" xfId="105" xr:uid="{00000000-0005-0000-0000-00003C020000}"/>
    <cellStyle name="Note 67" xfId="114" xr:uid="{00000000-0005-0000-0000-00003D020000}"/>
    <cellStyle name="Note 68" xfId="128" xr:uid="{00000000-0005-0000-0000-00003E020000}"/>
    <cellStyle name="Note 69" xfId="142" xr:uid="{00000000-0005-0000-0000-00003F020000}"/>
    <cellStyle name="Note 7" xfId="106" xr:uid="{00000000-0005-0000-0000-000040020000}"/>
    <cellStyle name="Note 70" xfId="156" xr:uid="{00000000-0005-0000-0000-000041020000}"/>
    <cellStyle name="Note 71" xfId="170" xr:uid="{00000000-0005-0000-0000-000042020000}"/>
    <cellStyle name="Note 72" xfId="184" xr:uid="{00000000-0005-0000-0000-000043020000}"/>
    <cellStyle name="Note 73" xfId="198" xr:uid="{00000000-0005-0000-0000-000044020000}"/>
    <cellStyle name="Note 74" xfId="212" xr:uid="{00000000-0005-0000-0000-000045020000}"/>
    <cellStyle name="Note 75" xfId="226" xr:uid="{00000000-0005-0000-0000-000046020000}"/>
    <cellStyle name="Note 76" xfId="240" xr:uid="{00000000-0005-0000-0000-000047020000}"/>
    <cellStyle name="Note 77" xfId="267" xr:uid="{00000000-0005-0000-0000-000048020000}"/>
    <cellStyle name="Note 78" xfId="295" xr:uid="{00000000-0005-0000-0000-000049020000}"/>
    <cellStyle name="Note 79" xfId="309" xr:uid="{00000000-0005-0000-0000-00004A020000}"/>
    <cellStyle name="Note 8" xfId="107" xr:uid="{00000000-0005-0000-0000-00004B020000}"/>
    <cellStyle name="Note 80" xfId="323" xr:uid="{00000000-0005-0000-0000-00004C020000}"/>
    <cellStyle name="Note 81" xfId="337" xr:uid="{00000000-0005-0000-0000-00004D020000}"/>
    <cellStyle name="Note 82" xfId="351" xr:uid="{00000000-0005-0000-0000-00004E020000}"/>
    <cellStyle name="Note 83" xfId="365" xr:uid="{00000000-0005-0000-0000-00004F020000}"/>
    <cellStyle name="Note 84" xfId="379" xr:uid="{00000000-0005-0000-0000-000050020000}"/>
    <cellStyle name="Note 85" xfId="393" xr:uid="{00000000-0005-0000-0000-000051020000}"/>
    <cellStyle name="Note 86" xfId="407" xr:uid="{00000000-0005-0000-0000-000052020000}"/>
    <cellStyle name="Note 87" xfId="421" xr:uid="{00000000-0005-0000-0000-000053020000}"/>
    <cellStyle name="Note 88" xfId="435" xr:uid="{00000000-0005-0000-0000-000054020000}"/>
    <cellStyle name="Note 89" xfId="449" xr:uid="{00000000-0005-0000-0000-000055020000}"/>
    <cellStyle name="Note 9" xfId="108" xr:uid="{00000000-0005-0000-0000-000056020000}"/>
    <cellStyle name="Note 90" xfId="463" xr:uid="{00000000-0005-0000-0000-000057020000}"/>
    <cellStyle name="Note 91" xfId="477" xr:uid="{00000000-0005-0000-0000-000058020000}"/>
    <cellStyle name="Note 92" xfId="491" xr:uid="{00000000-0005-0000-0000-000059020000}"/>
    <cellStyle name="Note 93" xfId="505" xr:uid="{00000000-0005-0000-0000-00005A020000}"/>
    <cellStyle name="Note 94" xfId="519" xr:uid="{00000000-0005-0000-0000-00005B020000}"/>
    <cellStyle name="Note 95" xfId="533" xr:uid="{00000000-0005-0000-0000-00005C020000}"/>
    <cellStyle name="Note 96" xfId="547" xr:uid="{00000000-0005-0000-0000-00005D020000}"/>
    <cellStyle name="Note 97" xfId="561" xr:uid="{00000000-0005-0000-0000-00005E020000}"/>
    <cellStyle name="Note 98" xfId="575" xr:uid="{00000000-0005-0000-0000-00005F020000}"/>
    <cellStyle name="Note 99" xfId="589" xr:uid="{00000000-0005-0000-0000-000060020000}"/>
    <cellStyle name="Output" xfId="109" builtinId="21" customBuiltin="1"/>
    <cellStyle name="Output 2" xfId="262" xr:uid="{00000000-0005-0000-0000-000062020000}"/>
    <cellStyle name="Title" xfId="110" builtinId="15" customBuiltin="1"/>
    <cellStyle name="Title 2" xfId="603" xr:uid="{00000000-0005-0000-0000-000064020000}"/>
    <cellStyle name="Total" xfId="111" builtinId="25" customBuiltin="1"/>
    <cellStyle name="Total 2" xfId="269" xr:uid="{00000000-0005-0000-0000-000066020000}"/>
    <cellStyle name="Warning Text" xfId="112" builtinId="11" customBuiltin="1"/>
    <cellStyle name="Warning Text 2" xfId="266" xr:uid="{00000000-0005-0000-0000-000068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50"/>
  <sheetViews>
    <sheetView tabSelected="1" view="pageBreakPreview" zoomScaleNormal="90" zoomScaleSheetLayoutView="100" zoomScalePageLayoutView="70" workbookViewId="0">
      <pane ySplit="2" topLeftCell="A3" activePane="bottomLeft" state="frozen"/>
      <selection pane="bottomLeft"/>
    </sheetView>
  </sheetViews>
  <sheetFormatPr defaultColWidth="9.140625" defaultRowHeight="15" x14ac:dyDescent="0.2"/>
  <cols>
    <col min="1" max="1" width="15.28515625" style="7" customWidth="1"/>
    <col min="2" max="2" width="10.5703125" style="90" bestFit="1" customWidth="1"/>
    <col min="3" max="3" width="10.7109375" style="90" customWidth="1"/>
    <col min="4" max="4" width="9.28515625" style="90" customWidth="1"/>
    <col min="5" max="6" width="14" style="21" customWidth="1"/>
    <col min="7" max="7" width="34.7109375" style="7" customWidth="1"/>
    <col min="8" max="8" width="31" style="8" customWidth="1"/>
    <col min="9" max="9" width="15" style="22" customWidth="1"/>
    <col min="10" max="10" width="14.140625" style="22" customWidth="1"/>
    <col min="11" max="11" width="14.28515625" style="22" customWidth="1"/>
    <col min="12" max="12" width="17" style="22" customWidth="1"/>
    <col min="13" max="16384" width="9.140625" style="7"/>
  </cols>
  <sheetData>
    <row r="1" spans="1:13" ht="30" customHeight="1" x14ac:dyDescent="0.2">
      <c r="A1" s="61" t="s">
        <v>186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</row>
    <row r="2" spans="1:13" ht="30" customHeight="1" x14ac:dyDescent="0.2">
      <c r="A2" s="62" t="s">
        <v>93</v>
      </c>
      <c r="B2" s="63" t="s">
        <v>24</v>
      </c>
      <c r="C2" s="63" t="s">
        <v>89</v>
      </c>
      <c r="D2" s="63" t="s">
        <v>90</v>
      </c>
      <c r="E2" s="64" t="s">
        <v>1</v>
      </c>
      <c r="F2" s="64" t="s">
        <v>15</v>
      </c>
      <c r="G2" s="65" t="s">
        <v>27</v>
      </c>
      <c r="H2" s="43" t="s">
        <v>26</v>
      </c>
      <c r="I2" s="55" t="s">
        <v>18</v>
      </c>
      <c r="J2" s="55" t="s">
        <v>17</v>
      </c>
      <c r="K2" s="55" t="s">
        <v>19</v>
      </c>
      <c r="L2" s="55" t="s">
        <v>28</v>
      </c>
    </row>
    <row r="3" spans="1:13" s="69" customFormat="1" ht="25.15" customHeight="1" x14ac:dyDescent="0.25">
      <c r="A3" s="66"/>
      <c r="B3" s="67"/>
      <c r="C3" s="67"/>
      <c r="D3" s="67"/>
      <c r="E3" s="67"/>
      <c r="F3" s="67"/>
      <c r="G3" s="68" t="s">
        <v>81</v>
      </c>
      <c r="H3" s="44"/>
      <c r="I3" s="44"/>
      <c r="J3" s="44"/>
      <c r="K3" s="44"/>
      <c r="L3" s="44"/>
    </row>
    <row r="4" spans="1:13" s="5" customFormat="1" ht="15.6" customHeight="1" x14ac:dyDescent="0.2">
      <c r="A4" s="5" t="s">
        <v>7</v>
      </c>
      <c r="B4" s="50">
        <v>100554</v>
      </c>
      <c r="C4" s="51" t="s">
        <v>124</v>
      </c>
      <c r="D4" s="51" t="s">
        <v>62</v>
      </c>
      <c r="E4" s="52">
        <v>43294</v>
      </c>
      <c r="F4" s="52">
        <v>43676</v>
      </c>
      <c r="G4" s="5" t="s">
        <v>136</v>
      </c>
      <c r="H4" s="5" t="s">
        <v>125</v>
      </c>
      <c r="I4" s="53">
        <v>10.5</v>
      </c>
      <c r="J4" s="53">
        <v>10.5</v>
      </c>
      <c r="K4" s="53">
        <v>0</v>
      </c>
      <c r="L4" s="54">
        <v>0</v>
      </c>
      <c r="M4" s="25"/>
    </row>
    <row r="5" spans="1:13" s="5" customFormat="1" ht="15.6" customHeight="1" x14ac:dyDescent="0.2">
      <c r="A5" s="5" t="s">
        <v>7</v>
      </c>
      <c r="B5" s="50">
        <v>100554</v>
      </c>
      <c r="C5" s="51" t="s">
        <v>137</v>
      </c>
      <c r="D5" s="51" t="s">
        <v>62</v>
      </c>
      <c r="E5" s="52">
        <v>43356</v>
      </c>
      <c r="F5" s="52">
        <v>43719</v>
      </c>
      <c r="G5" s="5" t="s">
        <v>136</v>
      </c>
      <c r="H5" s="5" t="s">
        <v>128</v>
      </c>
      <c r="I5" s="53">
        <v>5.05</v>
      </c>
      <c r="J5" s="53">
        <v>5.05</v>
      </c>
      <c r="K5" s="53">
        <v>0</v>
      </c>
      <c r="L5" s="54">
        <v>0</v>
      </c>
      <c r="M5" s="25"/>
    </row>
    <row r="6" spans="1:13" s="5" customFormat="1" ht="15.6" customHeight="1" x14ac:dyDescent="0.2">
      <c r="A6" s="5" t="s">
        <v>7</v>
      </c>
      <c r="B6" s="50">
        <v>100554</v>
      </c>
      <c r="C6" s="51" t="s">
        <v>142</v>
      </c>
      <c r="D6" s="51" t="s">
        <v>62</v>
      </c>
      <c r="E6" s="52">
        <v>43389</v>
      </c>
      <c r="F6" s="52">
        <v>43754</v>
      </c>
      <c r="G6" s="5" t="s">
        <v>136</v>
      </c>
      <c r="H6" s="5" t="s">
        <v>143</v>
      </c>
      <c r="I6" s="53">
        <v>38.81</v>
      </c>
      <c r="J6" s="53">
        <v>0</v>
      </c>
      <c r="K6" s="53">
        <v>38.81</v>
      </c>
      <c r="L6" s="54">
        <v>3309.61</v>
      </c>
      <c r="M6" s="25"/>
    </row>
    <row r="7" spans="1:13" s="5" customFormat="1" ht="15.6" customHeight="1" x14ac:dyDescent="0.2">
      <c r="A7" s="5" t="s">
        <v>7</v>
      </c>
      <c r="B7" s="50">
        <v>100554</v>
      </c>
      <c r="C7" s="51" t="s">
        <v>144</v>
      </c>
      <c r="D7" s="51" t="s">
        <v>62</v>
      </c>
      <c r="E7" s="52">
        <v>43389</v>
      </c>
      <c r="F7" s="52">
        <v>43754</v>
      </c>
      <c r="G7" s="5" t="s">
        <v>136</v>
      </c>
      <c r="H7" s="5" t="s">
        <v>145</v>
      </c>
      <c r="I7" s="53">
        <v>34.89</v>
      </c>
      <c r="J7" s="53">
        <v>34.89</v>
      </c>
      <c r="K7" s="53">
        <v>0</v>
      </c>
      <c r="L7" s="54">
        <v>0</v>
      </c>
      <c r="M7" s="25"/>
    </row>
    <row r="8" spans="1:13" s="5" customFormat="1" ht="15.6" customHeight="1" x14ac:dyDescent="0.2">
      <c r="A8" s="5" t="s">
        <v>7</v>
      </c>
      <c r="B8" s="50">
        <v>100554</v>
      </c>
      <c r="C8" s="51" t="s">
        <v>169</v>
      </c>
      <c r="D8" s="51" t="s">
        <v>62</v>
      </c>
      <c r="E8" s="52">
        <v>43634</v>
      </c>
      <c r="F8" s="52">
        <v>44001</v>
      </c>
      <c r="G8" s="5" t="s">
        <v>136</v>
      </c>
      <c r="H8" s="5" t="s">
        <v>164</v>
      </c>
      <c r="I8" s="53">
        <v>46.63</v>
      </c>
      <c r="J8" s="53">
        <v>46.63</v>
      </c>
      <c r="K8" s="53">
        <v>0</v>
      </c>
      <c r="L8" s="54">
        <v>0</v>
      </c>
      <c r="M8" s="25"/>
    </row>
    <row r="9" spans="1:13" s="5" customFormat="1" ht="15.6" customHeight="1" x14ac:dyDescent="0.2">
      <c r="A9" s="5" t="s">
        <v>7</v>
      </c>
      <c r="B9" s="50">
        <v>100554</v>
      </c>
      <c r="C9" s="51" t="s">
        <v>170</v>
      </c>
      <c r="D9" s="51" t="s">
        <v>62</v>
      </c>
      <c r="E9" s="52">
        <v>43634</v>
      </c>
      <c r="F9" s="52">
        <v>44001</v>
      </c>
      <c r="G9" s="5" t="s">
        <v>136</v>
      </c>
      <c r="H9" s="5" t="s">
        <v>163</v>
      </c>
      <c r="I9" s="53">
        <v>26.1</v>
      </c>
      <c r="J9" s="53">
        <v>26.1</v>
      </c>
      <c r="K9" s="53">
        <v>0</v>
      </c>
      <c r="L9" s="54">
        <v>0</v>
      </c>
      <c r="M9" s="25"/>
    </row>
    <row r="10" spans="1:13" s="5" customFormat="1" ht="15.6" customHeight="1" x14ac:dyDescent="0.2">
      <c r="A10" s="5" t="s">
        <v>7</v>
      </c>
      <c r="B10" s="50">
        <v>100554</v>
      </c>
      <c r="C10" s="51" t="s">
        <v>171</v>
      </c>
      <c r="D10" s="51" t="s">
        <v>62</v>
      </c>
      <c r="E10" s="52">
        <v>43634</v>
      </c>
      <c r="F10" s="52">
        <v>44001</v>
      </c>
      <c r="G10" s="5" t="s">
        <v>136</v>
      </c>
      <c r="H10" s="5" t="s">
        <v>162</v>
      </c>
      <c r="I10" s="53">
        <v>22.93</v>
      </c>
      <c r="J10" s="53">
        <v>22.93</v>
      </c>
      <c r="K10" s="53">
        <v>0</v>
      </c>
      <c r="L10" s="54">
        <v>0</v>
      </c>
      <c r="M10" s="25"/>
    </row>
    <row r="11" spans="1:13" s="5" customFormat="1" ht="15.6" customHeight="1" x14ac:dyDescent="0.2">
      <c r="A11" s="5" t="s">
        <v>7</v>
      </c>
      <c r="B11" s="50">
        <v>100554</v>
      </c>
      <c r="C11" s="51" t="s">
        <v>116</v>
      </c>
      <c r="D11" s="50" t="s">
        <v>62</v>
      </c>
      <c r="E11" s="52">
        <v>43186</v>
      </c>
      <c r="F11" s="52">
        <v>43551</v>
      </c>
      <c r="G11" s="5" t="s">
        <v>49</v>
      </c>
      <c r="H11" s="5" t="s">
        <v>117</v>
      </c>
      <c r="I11" s="53">
        <v>16.82</v>
      </c>
      <c r="J11" s="53">
        <v>16.82</v>
      </c>
      <c r="K11" s="53">
        <v>0</v>
      </c>
      <c r="L11" s="54">
        <v>0</v>
      </c>
      <c r="M11" s="25"/>
    </row>
    <row r="12" spans="1:13" s="5" customFormat="1" ht="15.6" customHeight="1" x14ac:dyDescent="0.2">
      <c r="A12" s="5" t="s">
        <v>7</v>
      </c>
      <c r="B12" s="50">
        <v>100554</v>
      </c>
      <c r="C12" s="51" t="s">
        <v>118</v>
      </c>
      <c r="D12" s="52" t="s">
        <v>62</v>
      </c>
      <c r="E12" s="52">
        <v>43200</v>
      </c>
      <c r="F12" s="52">
        <v>43626</v>
      </c>
      <c r="G12" s="5" t="s">
        <v>49</v>
      </c>
      <c r="H12" s="5" t="s">
        <v>119</v>
      </c>
      <c r="I12" s="53">
        <v>4.28</v>
      </c>
      <c r="J12" s="53">
        <v>4.28</v>
      </c>
      <c r="K12" s="53">
        <v>0</v>
      </c>
      <c r="L12" s="54">
        <v>0</v>
      </c>
      <c r="M12" s="25"/>
    </row>
    <row r="13" spans="1:13" s="5" customFormat="1" ht="15" customHeight="1" x14ac:dyDescent="0.2">
      <c r="A13" s="5" t="str">
        <f>LOOKUP(B13,B$61:C$73)</f>
        <v>Wrangell</v>
      </c>
      <c r="B13" s="50">
        <v>100522</v>
      </c>
      <c r="C13" s="51" t="s">
        <v>36</v>
      </c>
      <c r="D13" s="50">
        <v>13</v>
      </c>
      <c r="E13" s="52">
        <v>40799</v>
      </c>
      <c r="F13" s="52">
        <v>43975</v>
      </c>
      <c r="G13" s="5" t="s">
        <v>4</v>
      </c>
      <c r="H13" s="45" t="s">
        <v>34</v>
      </c>
      <c r="I13" s="53">
        <v>27026.639999999999</v>
      </c>
      <c r="J13" s="53">
        <v>25946.09</v>
      </c>
      <c r="K13" s="53">
        <f>I13-J13</f>
        <v>1080.5499999999993</v>
      </c>
      <c r="L13" s="54">
        <v>19249.09</v>
      </c>
      <c r="M13" s="25"/>
    </row>
    <row r="14" spans="1:13" s="5" customFormat="1" ht="15" customHeight="1" x14ac:dyDescent="0.2">
      <c r="A14" s="5" t="str">
        <f>LOOKUP(B14,B$61:C$73)</f>
        <v>Thorne Bay</v>
      </c>
      <c r="B14" s="50">
        <v>100554</v>
      </c>
      <c r="C14" s="51" t="s">
        <v>57</v>
      </c>
      <c r="D14" s="50">
        <v>6</v>
      </c>
      <c r="E14" s="52">
        <v>42262</v>
      </c>
      <c r="F14" s="52">
        <v>44499</v>
      </c>
      <c r="G14" s="25" t="s">
        <v>54</v>
      </c>
      <c r="H14" s="25" t="s">
        <v>55</v>
      </c>
      <c r="I14" s="53">
        <v>3911</v>
      </c>
      <c r="J14" s="53">
        <v>0</v>
      </c>
      <c r="K14" s="53">
        <v>3911</v>
      </c>
      <c r="L14" s="54">
        <v>442529.89</v>
      </c>
      <c r="M14" s="25"/>
    </row>
    <row r="15" spans="1:13" s="5" customFormat="1" ht="15" customHeight="1" x14ac:dyDescent="0.2">
      <c r="A15" s="5" t="s">
        <v>12</v>
      </c>
      <c r="B15" s="50">
        <v>100521</v>
      </c>
      <c r="C15" s="51" t="s">
        <v>177</v>
      </c>
      <c r="D15" s="50" t="s">
        <v>62</v>
      </c>
      <c r="E15" s="52">
        <v>43648</v>
      </c>
      <c r="F15" s="52">
        <v>44012</v>
      </c>
      <c r="G15" s="25" t="s">
        <v>176</v>
      </c>
      <c r="H15" s="25" t="s">
        <v>178</v>
      </c>
      <c r="I15" s="53">
        <v>27.75</v>
      </c>
      <c r="J15" s="53">
        <v>0</v>
      </c>
      <c r="K15" s="53">
        <f>I15-J15</f>
        <v>27.75</v>
      </c>
      <c r="L15" s="54">
        <v>2008.02</v>
      </c>
      <c r="M15" s="25"/>
    </row>
    <row r="16" spans="1:13" s="5" customFormat="1" ht="15.6" customHeight="1" x14ac:dyDescent="0.2">
      <c r="A16" s="5" t="s">
        <v>7</v>
      </c>
      <c r="B16" s="50">
        <v>100554</v>
      </c>
      <c r="C16" s="51" t="s">
        <v>134</v>
      </c>
      <c r="D16" s="51" t="s">
        <v>50</v>
      </c>
      <c r="E16" s="52">
        <v>43306</v>
      </c>
      <c r="F16" s="52">
        <v>44135</v>
      </c>
      <c r="G16" s="5" t="s">
        <v>135</v>
      </c>
      <c r="H16" s="5" t="s">
        <v>133</v>
      </c>
      <c r="I16" s="53">
        <v>151</v>
      </c>
      <c r="J16" s="53">
        <v>43.16</v>
      </c>
      <c r="K16" s="53">
        <f>I16-J16</f>
        <v>107.84</v>
      </c>
      <c r="L16" s="54">
        <v>16894.349999999999</v>
      </c>
      <c r="M16" s="25"/>
    </row>
    <row r="17" spans="1:13" s="5" customFormat="1" ht="15" customHeight="1" x14ac:dyDescent="0.2">
      <c r="A17" s="5" t="str">
        <f>LOOKUP(B17,B$61:C$73)</f>
        <v>Juneau</v>
      </c>
      <c r="B17" s="50">
        <v>100533</v>
      </c>
      <c r="C17" s="51" t="s">
        <v>45</v>
      </c>
      <c r="D17" s="50" t="s">
        <v>50</v>
      </c>
      <c r="E17" s="52">
        <v>41948</v>
      </c>
      <c r="F17" s="52">
        <v>44135</v>
      </c>
      <c r="G17" s="40" t="s">
        <v>29</v>
      </c>
      <c r="H17" s="41" t="s">
        <v>44</v>
      </c>
      <c r="I17" s="53">
        <v>737.59</v>
      </c>
      <c r="J17" s="53">
        <v>28</v>
      </c>
      <c r="K17" s="53">
        <v>709.59</v>
      </c>
      <c r="L17" s="54">
        <v>10766.84</v>
      </c>
      <c r="M17" s="25"/>
    </row>
    <row r="18" spans="1:13" s="5" customFormat="1" ht="15" customHeight="1" x14ac:dyDescent="0.2">
      <c r="A18" s="5" t="str">
        <f>LOOKUP(B18,B$61:C$73)</f>
        <v>Juneau</v>
      </c>
      <c r="B18" s="50">
        <v>100533</v>
      </c>
      <c r="C18" s="51" t="s">
        <v>42</v>
      </c>
      <c r="D18" s="50" t="s">
        <v>50</v>
      </c>
      <c r="E18" s="52">
        <v>41786</v>
      </c>
      <c r="F18" s="52">
        <v>44500</v>
      </c>
      <c r="G18" s="40" t="s">
        <v>29</v>
      </c>
      <c r="H18" s="41" t="s">
        <v>56</v>
      </c>
      <c r="I18" s="53">
        <v>158.33000000000001</v>
      </c>
      <c r="J18" s="53">
        <v>141.44999999999999</v>
      </c>
      <c r="K18" s="53">
        <v>16.88</v>
      </c>
      <c r="L18" s="54">
        <v>138.22</v>
      </c>
      <c r="M18" s="25"/>
    </row>
    <row r="19" spans="1:13" s="5" customFormat="1" ht="15" customHeight="1" x14ac:dyDescent="0.2">
      <c r="A19" s="5" t="s">
        <v>8</v>
      </c>
      <c r="B19" s="50">
        <v>100532</v>
      </c>
      <c r="C19" s="51" t="s">
        <v>131</v>
      </c>
      <c r="D19" s="50" t="s">
        <v>50</v>
      </c>
      <c r="E19" s="52">
        <v>43314</v>
      </c>
      <c r="F19" s="52">
        <v>45230</v>
      </c>
      <c r="G19" s="5" t="s">
        <v>5</v>
      </c>
      <c r="H19" s="26" t="s">
        <v>126</v>
      </c>
      <c r="I19" s="53">
        <v>174.18</v>
      </c>
      <c r="J19" s="53">
        <v>91</v>
      </c>
      <c r="K19" s="53">
        <f>I19-J19</f>
        <v>83.18</v>
      </c>
      <c r="L19" s="54">
        <v>6961.76</v>
      </c>
      <c r="M19" s="25"/>
    </row>
    <row r="20" spans="1:13" s="5" customFormat="1" ht="15" customHeight="1" x14ac:dyDescent="0.2">
      <c r="A20" s="5" t="s">
        <v>8</v>
      </c>
      <c r="B20" s="50">
        <v>100532</v>
      </c>
      <c r="C20" s="51" t="s">
        <v>132</v>
      </c>
      <c r="D20" s="50" t="s">
        <v>50</v>
      </c>
      <c r="E20" s="52">
        <v>43314</v>
      </c>
      <c r="F20" s="52">
        <v>45230</v>
      </c>
      <c r="G20" s="5" t="s">
        <v>5</v>
      </c>
      <c r="H20" s="26" t="s">
        <v>127</v>
      </c>
      <c r="I20" s="53">
        <v>252.18</v>
      </c>
      <c r="J20" s="53">
        <v>0</v>
      </c>
      <c r="K20" s="53">
        <v>252.18</v>
      </c>
      <c r="L20" s="54">
        <v>13203.78</v>
      </c>
      <c r="M20" s="25"/>
    </row>
    <row r="21" spans="1:13" s="5" customFormat="1" ht="15.6" customHeight="1" x14ac:dyDescent="0.2">
      <c r="A21" s="5" t="s">
        <v>7</v>
      </c>
      <c r="B21" s="50">
        <v>100554</v>
      </c>
      <c r="C21" s="51" t="s">
        <v>172</v>
      </c>
      <c r="D21" s="51" t="s">
        <v>50</v>
      </c>
      <c r="E21" s="52">
        <v>43634</v>
      </c>
      <c r="F21" s="52">
        <v>44865</v>
      </c>
      <c r="G21" s="5" t="s">
        <v>165</v>
      </c>
      <c r="H21" s="5" t="s">
        <v>166</v>
      </c>
      <c r="I21" s="53">
        <v>156</v>
      </c>
      <c r="J21" s="53">
        <v>0</v>
      </c>
      <c r="K21" s="53">
        <v>156</v>
      </c>
      <c r="L21" s="54">
        <v>31251.96</v>
      </c>
      <c r="M21" s="25"/>
    </row>
    <row r="22" spans="1:13" s="5" customFormat="1" ht="15.6" customHeight="1" x14ac:dyDescent="0.2">
      <c r="A22" s="5" t="s">
        <v>12</v>
      </c>
      <c r="B22" s="50">
        <v>100521</v>
      </c>
      <c r="C22" s="51" t="s">
        <v>182</v>
      </c>
      <c r="D22" s="51" t="s">
        <v>62</v>
      </c>
      <c r="E22" s="52">
        <v>43683</v>
      </c>
      <c r="F22" s="52">
        <v>44049</v>
      </c>
      <c r="G22" s="5" t="s">
        <v>35</v>
      </c>
      <c r="H22" s="5" t="s">
        <v>183</v>
      </c>
      <c r="I22" s="53">
        <v>4.34</v>
      </c>
      <c r="J22" s="53">
        <v>0</v>
      </c>
      <c r="K22" s="53">
        <f>I22-J22</f>
        <v>4.34</v>
      </c>
      <c r="L22" s="54">
        <v>234.92</v>
      </c>
      <c r="M22" s="25"/>
    </row>
    <row r="23" spans="1:13" s="5" customFormat="1" ht="15.6" customHeight="1" x14ac:dyDescent="0.2">
      <c r="A23" s="5" t="s">
        <v>9</v>
      </c>
      <c r="B23" s="50">
        <v>100551</v>
      </c>
      <c r="C23" s="51" t="s">
        <v>150</v>
      </c>
      <c r="D23" s="51" t="s">
        <v>151</v>
      </c>
      <c r="E23" s="52">
        <v>43417</v>
      </c>
      <c r="F23" s="52">
        <v>43782</v>
      </c>
      <c r="G23" s="5" t="s">
        <v>149</v>
      </c>
      <c r="H23" s="5" t="s">
        <v>152</v>
      </c>
      <c r="I23" s="53">
        <v>2.91</v>
      </c>
      <c r="J23" s="53">
        <v>2.91</v>
      </c>
      <c r="K23" s="53">
        <f>I23-J23</f>
        <v>0</v>
      </c>
      <c r="L23" s="54">
        <v>0</v>
      </c>
      <c r="M23" s="25"/>
    </row>
    <row r="24" spans="1:13" s="5" customFormat="1" ht="15.6" customHeight="1" x14ac:dyDescent="0.2">
      <c r="A24" s="5" t="s">
        <v>9</v>
      </c>
      <c r="B24" s="50">
        <v>100551</v>
      </c>
      <c r="C24" s="51" t="s">
        <v>179</v>
      </c>
      <c r="D24" s="51" t="s">
        <v>62</v>
      </c>
      <c r="E24" s="52">
        <v>43662</v>
      </c>
      <c r="F24" s="52">
        <v>44029</v>
      </c>
      <c r="G24" s="5" t="s">
        <v>149</v>
      </c>
      <c r="H24" s="5" t="s">
        <v>180</v>
      </c>
      <c r="I24" s="53">
        <v>3.92</v>
      </c>
      <c r="J24" s="53">
        <v>0</v>
      </c>
      <c r="K24" s="53">
        <v>3.92</v>
      </c>
      <c r="L24" s="54">
        <v>212.19</v>
      </c>
      <c r="M24" s="25"/>
    </row>
    <row r="25" spans="1:13" s="5" customFormat="1" ht="15.6" customHeight="1" x14ac:dyDescent="0.2">
      <c r="A25" s="5" t="s">
        <v>7</v>
      </c>
      <c r="B25" s="50">
        <v>100554</v>
      </c>
      <c r="C25" s="51" t="s">
        <v>122</v>
      </c>
      <c r="D25" s="51">
        <v>6</v>
      </c>
      <c r="E25" s="52">
        <v>43276</v>
      </c>
      <c r="F25" s="52">
        <v>44500</v>
      </c>
      <c r="G25" s="5" t="s">
        <v>140</v>
      </c>
      <c r="H25" s="5" t="s">
        <v>123</v>
      </c>
      <c r="I25" s="53">
        <v>528</v>
      </c>
      <c r="J25" s="53">
        <v>0</v>
      </c>
      <c r="K25" s="53">
        <v>528</v>
      </c>
      <c r="L25" s="54">
        <v>4859.92</v>
      </c>
      <c r="M25" s="25"/>
    </row>
    <row r="26" spans="1:13" s="5" customFormat="1" ht="15.6" customHeight="1" x14ac:dyDescent="0.2">
      <c r="A26" s="5" t="s">
        <v>7</v>
      </c>
      <c r="B26" s="50">
        <v>100554</v>
      </c>
      <c r="C26" s="51" t="s">
        <v>187</v>
      </c>
      <c r="D26" s="51" t="s">
        <v>62</v>
      </c>
      <c r="E26" s="52">
        <v>43718</v>
      </c>
      <c r="F26" s="52">
        <v>43796</v>
      </c>
      <c r="G26" s="5" t="s">
        <v>140</v>
      </c>
      <c r="H26" s="5" t="s">
        <v>188</v>
      </c>
      <c r="I26" s="53">
        <v>38.159999999999997</v>
      </c>
      <c r="J26" s="53">
        <v>0</v>
      </c>
      <c r="K26" s="53">
        <v>38.159999999999997</v>
      </c>
      <c r="L26" s="54">
        <v>3251.65</v>
      </c>
      <c r="M26" s="25"/>
    </row>
    <row r="27" spans="1:13" s="5" customFormat="1" ht="15.6" customHeight="1" x14ac:dyDescent="0.2">
      <c r="A27" s="5" t="s">
        <v>7</v>
      </c>
      <c r="B27" s="50">
        <v>100554</v>
      </c>
      <c r="C27" s="51" t="s">
        <v>173</v>
      </c>
      <c r="D27" s="51" t="s">
        <v>50</v>
      </c>
      <c r="E27" s="52">
        <v>43641</v>
      </c>
      <c r="F27" s="52">
        <v>44865</v>
      </c>
      <c r="G27" s="5" t="s">
        <v>140</v>
      </c>
      <c r="H27" s="5" t="s">
        <v>174</v>
      </c>
      <c r="I27" s="53">
        <v>25.41</v>
      </c>
      <c r="J27" s="53">
        <v>0</v>
      </c>
      <c r="K27" s="53">
        <v>25.41</v>
      </c>
      <c r="L27" s="54">
        <v>5108.93</v>
      </c>
      <c r="M27" s="25"/>
    </row>
    <row r="28" spans="1:13" s="5" customFormat="1" ht="15" customHeight="1" x14ac:dyDescent="0.2">
      <c r="A28" s="5" t="str">
        <f>LOOKUP(B28,B$61:C$73)</f>
        <v>Thorne Bay</v>
      </c>
      <c r="B28" s="50">
        <v>100554</v>
      </c>
      <c r="C28" s="51" t="s">
        <v>53</v>
      </c>
      <c r="D28" s="50">
        <v>6</v>
      </c>
      <c r="E28" s="52">
        <v>42185</v>
      </c>
      <c r="F28" s="52">
        <v>44042</v>
      </c>
      <c r="G28" s="39" t="s">
        <v>51</v>
      </c>
      <c r="H28" s="39" t="s">
        <v>52</v>
      </c>
      <c r="I28" s="53">
        <v>533.91</v>
      </c>
      <c r="J28" s="53">
        <v>487.58</v>
      </c>
      <c r="K28" s="53">
        <f>I28-J28</f>
        <v>46.329999999999984</v>
      </c>
      <c r="L28" s="54">
        <v>643.22</v>
      </c>
      <c r="M28" s="25"/>
    </row>
    <row r="29" spans="1:13" s="5" customFormat="1" ht="15" customHeight="1" x14ac:dyDescent="0.2">
      <c r="A29" s="5" t="str">
        <f>LOOKUP(B29,B$61:C$73)</f>
        <v>Thorne Bay</v>
      </c>
      <c r="B29" s="50">
        <v>100554</v>
      </c>
      <c r="C29" s="51" t="s">
        <v>159</v>
      </c>
      <c r="D29" s="50" t="s">
        <v>50</v>
      </c>
      <c r="E29" s="52">
        <v>43620</v>
      </c>
      <c r="F29" s="52">
        <v>44865</v>
      </c>
      <c r="G29" s="39" t="s">
        <v>51</v>
      </c>
      <c r="H29" s="39" t="s">
        <v>160</v>
      </c>
      <c r="I29" s="53">
        <v>332</v>
      </c>
      <c r="J29" s="53">
        <v>0</v>
      </c>
      <c r="K29" s="53">
        <f>I29-J29</f>
        <v>332</v>
      </c>
      <c r="L29" s="54">
        <v>37109.599999999999</v>
      </c>
      <c r="M29" s="25"/>
    </row>
    <row r="30" spans="1:13" s="5" customFormat="1" ht="15" customHeight="1" x14ac:dyDescent="0.2">
      <c r="A30" s="5" t="str">
        <f>LOOKUP(B30,B$61:C$73)</f>
        <v>Thorne Bay</v>
      </c>
      <c r="B30" s="50">
        <v>100554</v>
      </c>
      <c r="C30" s="51" t="s">
        <v>168</v>
      </c>
      <c r="D30" s="50" t="s">
        <v>50</v>
      </c>
      <c r="E30" s="52">
        <v>43636</v>
      </c>
      <c r="F30" s="52">
        <v>44865</v>
      </c>
      <c r="G30" s="39" t="s">
        <v>51</v>
      </c>
      <c r="H30" s="39" t="s">
        <v>167</v>
      </c>
      <c r="I30" s="53">
        <v>34</v>
      </c>
      <c r="J30" s="53">
        <v>0</v>
      </c>
      <c r="K30" s="53">
        <f>I30-J30</f>
        <v>34</v>
      </c>
      <c r="L30" s="54">
        <v>6575.16</v>
      </c>
      <c r="M30" s="25"/>
    </row>
    <row r="31" spans="1:13" s="5" customFormat="1" ht="15" customHeight="1" x14ac:dyDescent="0.2">
      <c r="A31" s="5" t="s">
        <v>12</v>
      </c>
      <c r="B31" s="50">
        <v>100521</v>
      </c>
      <c r="C31" s="51" t="s">
        <v>110</v>
      </c>
      <c r="D31" s="50" t="s">
        <v>62</v>
      </c>
      <c r="E31" s="52">
        <v>43305</v>
      </c>
      <c r="F31" s="52">
        <v>43769</v>
      </c>
      <c r="G31" s="5" t="s">
        <v>85</v>
      </c>
      <c r="H31" s="5" t="s">
        <v>141</v>
      </c>
      <c r="I31" s="53">
        <v>15.57</v>
      </c>
      <c r="J31" s="53">
        <v>15.57</v>
      </c>
      <c r="K31" s="53">
        <v>0</v>
      </c>
      <c r="L31" s="54">
        <v>0</v>
      </c>
      <c r="M31" s="25"/>
    </row>
    <row r="32" spans="1:13" s="5" customFormat="1" ht="15" customHeight="1" x14ac:dyDescent="0.2">
      <c r="A32" s="5" t="s">
        <v>12</v>
      </c>
      <c r="B32" s="50">
        <v>100521</v>
      </c>
      <c r="C32" s="51" t="s">
        <v>175</v>
      </c>
      <c r="D32" s="50" t="s">
        <v>62</v>
      </c>
      <c r="E32" s="52">
        <v>43627</v>
      </c>
      <c r="F32" s="52">
        <v>44135</v>
      </c>
      <c r="G32" s="5" t="s">
        <v>85</v>
      </c>
      <c r="H32" s="5" t="s">
        <v>161</v>
      </c>
      <c r="I32" s="53">
        <v>51.74</v>
      </c>
      <c r="J32" s="53">
        <v>0</v>
      </c>
      <c r="K32" s="53">
        <f>I32-J32</f>
        <v>51.74</v>
      </c>
      <c r="L32" s="54">
        <v>1501.04</v>
      </c>
      <c r="M32" s="25"/>
    </row>
    <row r="33" spans="1:13" s="5" customFormat="1" ht="15" customHeight="1" x14ac:dyDescent="0.2">
      <c r="A33" s="5" t="str">
        <f>LOOKUP(B33,B$61:C$73)</f>
        <v>Wrangell</v>
      </c>
      <c r="B33" s="50">
        <v>100522</v>
      </c>
      <c r="C33" s="51" t="s">
        <v>88</v>
      </c>
      <c r="D33" s="50">
        <v>6</v>
      </c>
      <c r="E33" s="52">
        <v>42640</v>
      </c>
      <c r="F33" s="52">
        <v>44865</v>
      </c>
      <c r="G33" s="5" t="s">
        <v>48</v>
      </c>
      <c r="H33" s="25" t="s">
        <v>86</v>
      </c>
      <c r="I33" s="53">
        <v>9802.6299999999992</v>
      </c>
      <c r="J33" s="53">
        <v>4006.85</v>
      </c>
      <c r="K33" s="53">
        <f>I33-J33</f>
        <v>5795.7799999999988</v>
      </c>
      <c r="L33" s="54">
        <v>35399.589999999997</v>
      </c>
      <c r="M33" s="25"/>
    </row>
    <row r="34" spans="1:13" s="5" customFormat="1" ht="15" customHeight="1" x14ac:dyDescent="0.2">
      <c r="A34" s="5" t="str">
        <f>LOOKUP(B34,B$61:C$73)</f>
        <v>Thorne Bay</v>
      </c>
      <c r="B34" s="50">
        <v>100554</v>
      </c>
      <c r="C34" s="51" t="s">
        <v>47</v>
      </c>
      <c r="D34" s="50">
        <v>6</v>
      </c>
      <c r="E34" s="52">
        <v>41947</v>
      </c>
      <c r="F34" s="52">
        <v>44165</v>
      </c>
      <c r="G34" s="35" t="s">
        <v>38</v>
      </c>
      <c r="H34" s="35" t="s">
        <v>46</v>
      </c>
      <c r="I34" s="53">
        <v>1816.13</v>
      </c>
      <c r="J34" s="53">
        <v>1576.35</v>
      </c>
      <c r="K34" s="53">
        <f>I34-J34</f>
        <v>239.7800000000002</v>
      </c>
      <c r="L34" s="54">
        <v>123878.41</v>
      </c>
      <c r="M34" s="25"/>
    </row>
    <row r="35" spans="1:13" s="5" customFormat="1" ht="15" customHeight="1" x14ac:dyDescent="0.2">
      <c r="A35" s="5" t="str">
        <f>LOOKUP(B35,B$61:C$73)</f>
        <v>Thorne Bay</v>
      </c>
      <c r="B35" s="50">
        <v>100554</v>
      </c>
      <c r="C35" s="51" t="s">
        <v>104</v>
      </c>
      <c r="D35" s="50" t="s">
        <v>50</v>
      </c>
      <c r="E35" s="52">
        <v>42927</v>
      </c>
      <c r="F35" s="52">
        <v>44865</v>
      </c>
      <c r="G35" s="35" t="s">
        <v>38</v>
      </c>
      <c r="H35" s="35" t="s">
        <v>103</v>
      </c>
      <c r="I35" s="53">
        <v>479.23</v>
      </c>
      <c r="J35" s="53">
        <v>129.27000000000001</v>
      </c>
      <c r="K35" s="53">
        <f>I35-J35</f>
        <v>349.96000000000004</v>
      </c>
      <c r="L35" s="54">
        <v>54235.4</v>
      </c>
      <c r="M35" s="25"/>
    </row>
    <row r="36" spans="1:13" s="5" customFormat="1" ht="15.6" customHeight="1" x14ac:dyDescent="0.2">
      <c r="A36" s="5" t="s">
        <v>7</v>
      </c>
      <c r="B36" s="50">
        <v>100554</v>
      </c>
      <c r="C36" s="51" t="s">
        <v>114</v>
      </c>
      <c r="D36" s="50" t="s">
        <v>62</v>
      </c>
      <c r="E36" s="52">
        <v>43130</v>
      </c>
      <c r="F36" s="52">
        <v>43495</v>
      </c>
      <c r="G36" s="5" t="s">
        <v>105</v>
      </c>
      <c r="H36" s="5" t="s">
        <v>115</v>
      </c>
      <c r="I36" s="53">
        <v>31.8</v>
      </c>
      <c r="J36" s="53">
        <v>31.8</v>
      </c>
      <c r="K36" s="53">
        <v>0</v>
      </c>
      <c r="L36" s="54">
        <v>0</v>
      </c>
      <c r="M36" s="25"/>
    </row>
    <row r="37" spans="1:13" s="5" customFormat="1" ht="15" customHeight="1" x14ac:dyDescent="0.2">
      <c r="A37" s="5" t="str">
        <f>LOOKUP(B37,B$61:C$73)</f>
        <v>Thorne Bay</v>
      </c>
      <c r="B37" s="50">
        <v>100554</v>
      </c>
      <c r="C37" s="51" t="s">
        <v>108</v>
      </c>
      <c r="D37" s="50">
        <v>4</v>
      </c>
      <c r="E37" s="52">
        <v>42990</v>
      </c>
      <c r="F37" s="52">
        <v>45291</v>
      </c>
      <c r="G37" s="36" t="s">
        <v>106</v>
      </c>
      <c r="H37" s="37" t="s">
        <v>107</v>
      </c>
      <c r="I37" s="53">
        <v>30008.12</v>
      </c>
      <c r="J37" s="53">
        <v>0</v>
      </c>
      <c r="K37" s="53">
        <v>30008.12</v>
      </c>
      <c r="L37" s="54">
        <v>921777.92</v>
      </c>
      <c r="M37" s="25"/>
    </row>
    <row r="38" spans="1:13" s="5" customFormat="1" ht="15" customHeight="1" x14ac:dyDescent="0.2">
      <c r="A38" s="5" t="s">
        <v>10</v>
      </c>
      <c r="B38" s="50">
        <v>100552</v>
      </c>
      <c r="C38" s="51" t="s">
        <v>155</v>
      </c>
      <c r="D38" s="50">
        <v>4</v>
      </c>
      <c r="E38" s="52">
        <v>43529</v>
      </c>
      <c r="F38" s="52">
        <v>44915</v>
      </c>
      <c r="G38" s="36" t="s">
        <v>106</v>
      </c>
      <c r="H38" s="37" t="s">
        <v>156</v>
      </c>
      <c r="I38" s="53">
        <v>2729.9</v>
      </c>
      <c r="J38" s="53">
        <v>0</v>
      </c>
      <c r="K38" s="53">
        <v>2729.9</v>
      </c>
      <c r="L38" s="54">
        <v>23525.4</v>
      </c>
      <c r="M38" s="25"/>
    </row>
    <row r="39" spans="1:13" s="5" customFormat="1" ht="15" customHeight="1" x14ac:dyDescent="0.2">
      <c r="A39" s="5" t="s">
        <v>22</v>
      </c>
      <c r="B39" s="50">
        <v>100531</v>
      </c>
      <c r="C39" s="51" t="s">
        <v>111</v>
      </c>
      <c r="D39" s="50" t="s">
        <v>50</v>
      </c>
      <c r="E39" s="52">
        <v>43200</v>
      </c>
      <c r="F39" s="52">
        <v>44865</v>
      </c>
      <c r="G39" s="36" t="s">
        <v>112</v>
      </c>
      <c r="H39" s="37" t="s">
        <v>113</v>
      </c>
      <c r="I39" s="53">
        <v>83.47</v>
      </c>
      <c r="J39" s="53">
        <v>0</v>
      </c>
      <c r="K39" s="53">
        <v>83.47</v>
      </c>
      <c r="L39" s="54">
        <v>4386.57</v>
      </c>
      <c r="M39" s="25"/>
    </row>
    <row r="40" spans="1:13" s="5" customFormat="1" ht="15.6" customHeight="1" x14ac:dyDescent="0.2">
      <c r="A40" s="5" t="s">
        <v>7</v>
      </c>
      <c r="B40" s="50">
        <v>100554</v>
      </c>
      <c r="C40" s="51" t="s">
        <v>138</v>
      </c>
      <c r="D40" s="52" t="s">
        <v>139</v>
      </c>
      <c r="E40" s="52">
        <v>43314</v>
      </c>
      <c r="F40" s="52">
        <v>44196</v>
      </c>
      <c r="G40" s="5" t="s">
        <v>129</v>
      </c>
      <c r="H40" s="5" t="s">
        <v>130</v>
      </c>
      <c r="I40" s="53">
        <v>44.47</v>
      </c>
      <c r="J40" s="53">
        <v>0</v>
      </c>
      <c r="K40" s="53">
        <v>44.47</v>
      </c>
      <c r="L40" s="54">
        <v>1810.68</v>
      </c>
      <c r="M40" s="25"/>
    </row>
    <row r="41" spans="1:13" s="5" customFormat="1" ht="15" customHeight="1" x14ac:dyDescent="0.2">
      <c r="A41" s="5" t="str">
        <f>LOOKUP(B41,B$61:C$73)</f>
        <v>Sitka</v>
      </c>
      <c r="B41" s="50">
        <v>100531</v>
      </c>
      <c r="C41" s="51" t="s">
        <v>60</v>
      </c>
      <c r="D41" s="50" t="s">
        <v>50</v>
      </c>
      <c r="E41" s="52">
        <v>42283</v>
      </c>
      <c r="F41" s="52">
        <v>44135</v>
      </c>
      <c r="G41" s="36" t="s">
        <v>58</v>
      </c>
      <c r="H41" s="37" t="s">
        <v>59</v>
      </c>
      <c r="I41" s="53">
        <v>29.34</v>
      </c>
      <c r="J41" s="53">
        <v>11.74</v>
      </c>
      <c r="K41" s="53">
        <v>17.600000000000001</v>
      </c>
      <c r="L41" s="54">
        <v>143.80000000000001</v>
      </c>
      <c r="M41" s="25"/>
    </row>
    <row r="42" spans="1:13" s="5" customFormat="1" ht="15" customHeight="1" x14ac:dyDescent="0.2">
      <c r="A42" s="5" t="str">
        <f>LOOKUP(B42,B$61:C$73)</f>
        <v>Sitka</v>
      </c>
      <c r="B42" s="50">
        <v>100531</v>
      </c>
      <c r="C42" s="51" t="s">
        <v>61</v>
      </c>
      <c r="D42" s="50" t="s">
        <v>50</v>
      </c>
      <c r="E42" s="52">
        <v>42283</v>
      </c>
      <c r="F42" s="52">
        <v>44135</v>
      </c>
      <c r="G42" s="38" t="s">
        <v>39</v>
      </c>
      <c r="H42" s="5" t="s">
        <v>94</v>
      </c>
      <c r="I42" s="53">
        <v>94.66</v>
      </c>
      <c r="J42" s="53">
        <v>9.58</v>
      </c>
      <c r="K42" s="53">
        <v>85.08</v>
      </c>
      <c r="L42" s="54">
        <v>2048.15</v>
      </c>
      <c r="M42" s="25"/>
    </row>
    <row r="43" spans="1:13" s="5" customFormat="1" ht="15" customHeight="1" x14ac:dyDescent="0.2">
      <c r="A43" s="5" t="str">
        <f>LOOKUP(B43,B$61:C$73)</f>
        <v>Thorne Bay</v>
      </c>
      <c r="B43" s="50">
        <v>100554</v>
      </c>
      <c r="C43" s="51" t="s">
        <v>109</v>
      </c>
      <c r="D43" s="50">
        <v>13</v>
      </c>
      <c r="E43" s="52">
        <v>41905</v>
      </c>
      <c r="F43" s="52">
        <v>45565</v>
      </c>
      <c r="G43" s="5" t="s">
        <v>16</v>
      </c>
      <c r="H43" s="5" t="s">
        <v>43</v>
      </c>
      <c r="I43" s="53">
        <v>86961.17</v>
      </c>
      <c r="J43" s="53">
        <v>76805.820000000007</v>
      </c>
      <c r="K43" s="53">
        <f>I43-J43</f>
        <v>10155.349999999991</v>
      </c>
      <c r="L43" s="54">
        <v>990568.71</v>
      </c>
      <c r="M43" s="25"/>
    </row>
    <row r="44" spans="1:13" s="5" customFormat="1" ht="15" customHeight="1" x14ac:dyDescent="0.2">
      <c r="A44" s="5" t="str">
        <f>LOOKUP(B44,B$61:C$73)</f>
        <v>Thorne Bay</v>
      </c>
      <c r="B44" s="50">
        <v>100554</v>
      </c>
      <c r="C44" s="51" t="s">
        <v>37</v>
      </c>
      <c r="D44" s="50">
        <v>6</v>
      </c>
      <c r="E44" s="52">
        <v>40448</v>
      </c>
      <c r="F44" s="52">
        <v>42308</v>
      </c>
      <c r="G44" s="5" t="s">
        <v>16</v>
      </c>
      <c r="H44" s="5" t="s">
        <v>33</v>
      </c>
      <c r="I44" s="53">
        <v>31842.73</v>
      </c>
      <c r="J44" s="53">
        <v>31842.73</v>
      </c>
      <c r="K44" s="53">
        <v>0</v>
      </c>
      <c r="L44" s="54">
        <v>0</v>
      </c>
      <c r="M44" s="25"/>
    </row>
    <row r="45" spans="1:13" s="5" customFormat="1" ht="15" customHeight="1" x14ac:dyDescent="0.2">
      <c r="A45" s="5" t="s">
        <v>7</v>
      </c>
      <c r="B45" s="50">
        <v>100554</v>
      </c>
      <c r="C45" s="51" t="s">
        <v>120</v>
      </c>
      <c r="D45" s="50">
        <v>6</v>
      </c>
      <c r="E45" s="52">
        <v>43221</v>
      </c>
      <c r="F45" s="52">
        <v>45596</v>
      </c>
      <c r="G45" s="5" t="s">
        <v>16</v>
      </c>
      <c r="H45" s="5" t="s">
        <v>121</v>
      </c>
      <c r="I45" s="53">
        <v>7599</v>
      </c>
      <c r="J45" s="53">
        <v>4439.1499999999996</v>
      </c>
      <c r="K45" s="53">
        <f>I45-J45</f>
        <v>3159.8500000000004</v>
      </c>
      <c r="L45" s="54">
        <v>477894.59</v>
      </c>
      <c r="M45" s="25"/>
    </row>
    <row r="46" spans="1:13" s="5" customFormat="1" ht="15.6" customHeight="1" x14ac:dyDescent="0.2">
      <c r="A46" s="5" t="str">
        <f>LOOKUP(B46,B$61:C$73)</f>
        <v>Thorne Bay</v>
      </c>
      <c r="B46" s="50">
        <v>100554</v>
      </c>
      <c r="C46" s="51" t="s">
        <v>146</v>
      </c>
      <c r="D46" s="50">
        <v>6</v>
      </c>
      <c r="E46" s="52">
        <v>43398</v>
      </c>
      <c r="F46" s="52">
        <v>45596</v>
      </c>
      <c r="G46" s="5" t="s">
        <v>65</v>
      </c>
      <c r="H46" s="5" t="s">
        <v>147</v>
      </c>
      <c r="I46" s="53">
        <v>1752</v>
      </c>
      <c r="J46" s="53">
        <v>0</v>
      </c>
      <c r="K46" s="53">
        <f>I46-J46</f>
        <v>1752</v>
      </c>
      <c r="L46" s="54">
        <v>286459.49</v>
      </c>
      <c r="M46" s="25"/>
    </row>
    <row r="47" spans="1:13" s="5" customFormat="1" ht="15.6" customHeight="1" x14ac:dyDescent="0.2">
      <c r="A47" s="5" t="s">
        <v>7</v>
      </c>
      <c r="B47" s="50">
        <v>100554</v>
      </c>
      <c r="C47" s="51" t="s">
        <v>184</v>
      </c>
      <c r="D47" s="50">
        <v>4</v>
      </c>
      <c r="E47" s="52">
        <v>43683</v>
      </c>
      <c r="F47" s="52">
        <v>44051</v>
      </c>
      <c r="G47" s="5" t="s">
        <v>181</v>
      </c>
      <c r="H47" s="5" t="s">
        <v>185</v>
      </c>
      <c r="I47" s="53">
        <v>2.87</v>
      </c>
      <c r="J47" s="53">
        <v>0</v>
      </c>
      <c r="K47" s="53">
        <v>2.87</v>
      </c>
      <c r="L47" s="54">
        <v>155.35</v>
      </c>
      <c r="M47" s="25"/>
    </row>
    <row r="48" spans="1:13" s="5" customFormat="1" ht="15.6" customHeight="1" x14ac:dyDescent="0.2">
      <c r="B48" s="70"/>
      <c r="C48" s="71"/>
      <c r="D48" s="72"/>
      <c r="E48" s="72"/>
      <c r="F48" s="72"/>
      <c r="I48" s="56"/>
      <c r="J48" s="56"/>
      <c r="K48" s="56"/>
      <c r="L48" s="73"/>
      <c r="M48" s="25"/>
    </row>
    <row r="49" spans="1:12" s="26" customFormat="1" x14ac:dyDescent="0.2">
      <c r="A49" s="5"/>
      <c r="H49" s="46"/>
    </row>
    <row r="50" spans="1:12" s="5" customFormat="1" ht="21.75" customHeight="1" x14ac:dyDescent="0.2">
      <c r="B50" s="1" t="s">
        <v>95</v>
      </c>
      <c r="C50" s="12">
        <f>COUNTIF($K$4:$K$46,"&gt;=0")</f>
        <v>43</v>
      </c>
      <c r="D50" s="13"/>
      <c r="E50" s="13"/>
      <c r="F50" s="13"/>
      <c r="G50" s="14" t="s">
        <v>96</v>
      </c>
      <c r="H50" s="9">
        <f>COUNTIF($K$4:$K$46,"&gt;0")</f>
        <v>31</v>
      </c>
      <c r="I50" s="1">
        <f>SUM(I4:I47)</f>
        <v>207648.16</v>
      </c>
      <c r="J50" s="1">
        <f>SUM(J4:J47)</f>
        <v>145776.25</v>
      </c>
      <c r="K50" s="1">
        <f>SUM(K4:K48)</f>
        <v>61871.909999999996</v>
      </c>
      <c r="L50" s="2">
        <f>SUM(L4:L47)</f>
        <v>3528094.2100000004</v>
      </c>
    </row>
    <row r="51" spans="1:12" s="26" customFormat="1" ht="15" customHeight="1" x14ac:dyDescent="0.2">
      <c r="A51" s="5"/>
      <c r="B51" s="74"/>
      <c r="C51" s="75"/>
      <c r="D51" s="75"/>
      <c r="E51" s="74"/>
      <c r="F51" s="76"/>
      <c r="I51" s="57"/>
      <c r="J51" s="57"/>
      <c r="K51" s="57"/>
      <c r="L51" s="77"/>
    </row>
    <row r="52" spans="1:12" s="79" customFormat="1" ht="30" customHeight="1" x14ac:dyDescent="0.2">
      <c r="A52" s="66"/>
      <c r="B52" s="78"/>
      <c r="C52" s="78"/>
      <c r="D52" s="78"/>
      <c r="E52" s="78"/>
      <c r="F52" s="78"/>
      <c r="G52" s="68" t="s">
        <v>82</v>
      </c>
      <c r="H52" s="5"/>
      <c r="I52" s="5"/>
      <c r="J52" s="5"/>
      <c r="K52" s="5"/>
      <c r="L52" s="5"/>
    </row>
    <row r="53" spans="1:12" s="5" customFormat="1" ht="15" customHeight="1" x14ac:dyDescent="0.2">
      <c r="B53" s="80"/>
      <c r="C53" s="81"/>
      <c r="D53" s="81"/>
      <c r="E53" s="82"/>
      <c r="F53" s="82"/>
      <c r="G53" s="47"/>
      <c r="H53" s="47"/>
      <c r="I53" s="58"/>
      <c r="J53" s="58"/>
      <c r="K53" s="58"/>
      <c r="L53" s="83"/>
    </row>
    <row r="54" spans="1:12" s="5" customFormat="1" ht="15" customHeight="1" x14ac:dyDescent="0.2">
      <c r="A54" s="5" t="str">
        <f>LOOKUP(B54,B$61:C$73)</f>
        <v>Seward</v>
      </c>
      <c r="B54" s="27">
        <v>100430</v>
      </c>
      <c r="C54" s="28" t="s">
        <v>31</v>
      </c>
      <c r="D54" s="27" t="s">
        <v>50</v>
      </c>
      <c r="E54" s="29">
        <v>40105</v>
      </c>
      <c r="F54" s="29">
        <v>43797</v>
      </c>
      <c r="G54" s="30" t="s">
        <v>32</v>
      </c>
      <c r="H54" s="30" t="s">
        <v>41</v>
      </c>
      <c r="I54" s="31">
        <v>277</v>
      </c>
      <c r="J54" s="31">
        <v>119</v>
      </c>
      <c r="K54" s="31">
        <f>I54-J54</f>
        <v>158</v>
      </c>
      <c r="L54" s="32">
        <v>790</v>
      </c>
    </row>
    <row r="55" spans="1:12" s="5" customFormat="1" ht="15" customHeight="1" x14ac:dyDescent="0.2">
      <c r="A55" s="5" t="s">
        <v>14</v>
      </c>
      <c r="B55" s="27">
        <v>100430</v>
      </c>
      <c r="C55" s="28" t="s">
        <v>153</v>
      </c>
      <c r="D55" s="27" t="s">
        <v>50</v>
      </c>
      <c r="E55" s="29">
        <v>43433</v>
      </c>
      <c r="F55" s="29">
        <v>43798</v>
      </c>
      <c r="G55" s="30" t="s">
        <v>101</v>
      </c>
      <c r="H55" s="30" t="s">
        <v>148</v>
      </c>
      <c r="I55" s="33">
        <v>172.56</v>
      </c>
      <c r="J55" s="33">
        <v>0</v>
      </c>
      <c r="K55" s="33">
        <f>I55-J55</f>
        <v>172.56</v>
      </c>
      <c r="L55" s="34">
        <v>17050.22</v>
      </c>
    </row>
    <row r="56" spans="1:12" s="5" customFormat="1" ht="15" customHeight="1" x14ac:dyDescent="0.2">
      <c r="A56" s="5" t="str">
        <f>LOOKUP(B56,B$61:C$73)</f>
        <v>Seward</v>
      </c>
      <c r="B56" s="27">
        <v>100430</v>
      </c>
      <c r="C56" s="28" t="s">
        <v>157</v>
      </c>
      <c r="D56" s="27" t="s">
        <v>50</v>
      </c>
      <c r="E56" s="29">
        <v>43616</v>
      </c>
      <c r="F56" s="29">
        <v>44012</v>
      </c>
      <c r="G56" s="30" t="s">
        <v>101</v>
      </c>
      <c r="H56" s="30" t="s">
        <v>158</v>
      </c>
      <c r="I56" s="33">
        <v>42.5</v>
      </c>
      <c r="J56" s="33">
        <v>0</v>
      </c>
      <c r="K56" s="33">
        <f t="shared" ref="K56" si="0">I56-J56</f>
        <v>42.5</v>
      </c>
      <c r="L56" s="34">
        <v>7242.85</v>
      </c>
    </row>
    <row r="57" spans="1:12" s="5" customFormat="1" ht="15" customHeight="1" x14ac:dyDescent="0.2">
      <c r="B57" s="84"/>
      <c r="C57" s="85"/>
      <c r="D57" s="85"/>
      <c r="E57" s="86"/>
      <c r="F57" s="86"/>
      <c r="G57" s="48"/>
      <c r="H57" s="48"/>
      <c r="I57" s="59"/>
      <c r="J57" s="59"/>
      <c r="K57" s="59"/>
      <c r="L57" s="87"/>
    </row>
    <row r="58" spans="1:12" s="5" customFormat="1" ht="21.4" customHeight="1" x14ac:dyDescent="0.2">
      <c r="B58" s="1" t="s">
        <v>97</v>
      </c>
      <c r="C58" s="9">
        <f>COUNTIF($K$54:$K$57,"&gt;=0")</f>
        <v>3</v>
      </c>
      <c r="D58" s="15"/>
      <c r="E58" s="13"/>
      <c r="F58" s="13"/>
      <c r="G58" s="14" t="s">
        <v>98</v>
      </c>
      <c r="H58" s="9">
        <f>COUNTIF($K$54:$K$57,"&gt;0")</f>
        <v>3</v>
      </c>
      <c r="I58" s="1">
        <f>SUM(I54:I57)</f>
        <v>492.06</v>
      </c>
      <c r="J58" s="1">
        <f>SUM(J54:J57)</f>
        <v>119</v>
      </c>
      <c r="K58" s="1">
        <f>SUM(K54:K57)</f>
        <v>373.06</v>
      </c>
      <c r="L58" s="2">
        <f>SUM(L54:L57)</f>
        <v>25083.07</v>
      </c>
    </row>
    <row r="59" spans="1:12" s="69" customFormat="1" ht="30" customHeight="1" x14ac:dyDescent="0.25">
      <c r="B59" s="67"/>
      <c r="C59" s="67"/>
      <c r="D59" s="67"/>
      <c r="E59" s="67"/>
      <c r="F59" s="67"/>
      <c r="G59" s="88" t="s">
        <v>83</v>
      </c>
      <c r="H59" s="49"/>
      <c r="I59" s="60"/>
      <c r="J59" s="60"/>
      <c r="K59" s="60"/>
      <c r="L59" s="60"/>
    </row>
    <row r="60" spans="1:12" s="5" customFormat="1" ht="21.4" customHeight="1" x14ac:dyDescent="0.2">
      <c r="B60" s="1" t="s">
        <v>100</v>
      </c>
      <c r="C60" s="16">
        <f>C50+C58</f>
        <v>46</v>
      </c>
      <c r="D60" s="17"/>
      <c r="E60" s="13"/>
      <c r="F60" s="13"/>
      <c r="G60" s="14" t="s">
        <v>99</v>
      </c>
      <c r="H60" s="9">
        <f>H50+H58</f>
        <v>34</v>
      </c>
      <c r="I60" s="18">
        <f>I50+I58</f>
        <v>208140.22</v>
      </c>
      <c r="J60" s="18">
        <f>J50+J58</f>
        <v>145895.25</v>
      </c>
      <c r="K60" s="18">
        <f>K50+K58</f>
        <v>62244.969999999994</v>
      </c>
      <c r="L60" s="19">
        <f>L50+L58</f>
        <v>3553177.2800000003</v>
      </c>
    </row>
    <row r="61" spans="1:12" s="5" customFormat="1" ht="14.25" customHeight="1" x14ac:dyDescent="0.2">
      <c r="A61" s="5" t="s">
        <v>25</v>
      </c>
      <c r="B61" s="78">
        <v>100410</v>
      </c>
      <c r="C61" s="15" t="s">
        <v>20</v>
      </c>
      <c r="D61" s="15"/>
      <c r="E61" s="5" t="s">
        <v>66</v>
      </c>
      <c r="F61" s="6"/>
      <c r="G61" s="12" t="s">
        <v>136</v>
      </c>
      <c r="I61" s="1">
        <f>SUMIF($G$4:$G$58,"Alaska Milling &amp; Fabrication LLC",$I$4:$I$58)</f>
        <v>184.91</v>
      </c>
      <c r="J61" s="1">
        <f>SUMIF($G$4:$G$58,"Alaska Milling &amp; Fabrication LLC",$J$4:$J$58)</f>
        <v>146.1</v>
      </c>
      <c r="K61" s="1">
        <f>SUMIF($G$4:$G$58,"Alaska Milling &amp; Fabrication LLC",$K$4:$K$58)</f>
        <v>38.81</v>
      </c>
      <c r="L61" s="2">
        <f>SUMIF($G$4:$G$58,"Alaska Milling &amp; Fabrication LLC",$L$4:$L$58)</f>
        <v>3309.61</v>
      </c>
    </row>
    <row r="62" spans="1:12" s="5" customFormat="1" ht="14.25" customHeight="1" x14ac:dyDescent="0.2">
      <c r="B62" s="78">
        <v>100420</v>
      </c>
      <c r="C62" s="15" t="s">
        <v>21</v>
      </c>
      <c r="D62" s="15"/>
      <c r="E62" s="6"/>
      <c r="F62" s="6"/>
      <c r="G62" s="26" t="s">
        <v>49</v>
      </c>
      <c r="I62" s="1">
        <f>SUMIF($G$4:$G$58,"Alaska Musicwood Industries",$I$4:$I$58)</f>
        <v>21.1</v>
      </c>
      <c r="J62" s="1">
        <f>SUMIF($G$4:$G$58,"Alaska Musicwood Industries",$J$4:$J$58)</f>
        <v>21.1</v>
      </c>
      <c r="K62" s="1">
        <f>SUMIF($G$4:$G$58,"Alaska Musicwood Industries",$K$4:$K$58)</f>
        <v>0</v>
      </c>
      <c r="L62" s="2">
        <f>SUMIF($G$4:$G$58,"Alaska Musicwood Industries",$L$4:$L$58)</f>
        <v>0</v>
      </c>
    </row>
    <row r="63" spans="1:12" s="5" customFormat="1" ht="14.25" customHeight="1" x14ac:dyDescent="0.2">
      <c r="B63" s="78">
        <v>100430</v>
      </c>
      <c r="C63" s="15" t="s">
        <v>14</v>
      </c>
      <c r="D63" s="15"/>
      <c r="E63" s="6"/>
      <c r="F63" s="6"/>
      <c r="G63" s="26" t="s">
        <v>67</v>
      </c>
      <c r="I63" s="1">
        <f>SUMIF($G$4:$G$58,"Alaska Tonewood LLC",$I$4:$I$58)</f>
        <v>0</v>
      </c>
      <c r="J63" s="1">
        <f>SUMIF($G$4:$G$58,"Alaska Tonewood LLC",$J$4:$J$58)</f>
        <v>0</v>
      </c>
      <c r="K63" s="1">
        <f>SUMIF($G$4:$G$58,"Alaska Tonewood LLC",$K$4:$K$58)</f>
        <v>0</v>
      </c>
      <c r="L63" s="2">
        <f>SUMIF($G$4:$G$58,"Alaska Tonewood LLC",$L$4:$L$58)</f>
        <v>0</v>
      </c>
    </row>
    <row r="64" spans="1:12" s="5" customFormat="1" ht="14.25" customHeight="1" x14ac:dyDescent="0.2">
      <c r="B64" s="78">
        <v>100521</v>
      </c>
      <c r="C64" s="15" t="s">
        <v>12</v>
      </c>
      <c r="D64" s="15"/>
      <c r="E64" s="6"/>
      <c r="F64" s="6"/>
      <c r="G64" s="26" t="s">
        <v>4</v>
      </c>
      <c r="I64" s="1">
        <f>SUMIF($G$4:$G$58,"Alcan Forest Products LLP",$I$4:$I$58)</f>
        <v>27026.639999999999</v>
      </c>
      <c r="J64" s="1">
        <f>SUMIF($G$4:$G$58,"Alcan Forest Products LLP",$J$4:$J$58)</f>
        <v>25946.09</v>
      </c>
      <c r="K64" s="1">
        <f>SUMIF($G$4:$G$58,"Alcan Forest Products LLP",$K$4:$K$58)</f>
        <v>1080.5499999999993</v>
      </c>
      <c r="L64" s="2">
        <f>SUMIF($G$4:$G$58,"Alcan Forest Products LLP",$L$4:$L$58)</f>
        <v>19249.09</v>
      </c>
    </row>
    <row r="65" spans="2:12" s="5" customFormat="1" ht="14.25" customHeight="1" x14ac:dyDescent="0.2">
      <c r="B65" s="78">
        <v>100522</v>
      </c>
      <c r="C65" s="15" t="s">
        <v>13</v>
      </c>
      <c r="D65" s="15"/>
      <c r="E65" s="6"/>
      <c r="F65" s="6"/>
      <c r="G65" s="26" t="s">
        <v>54</v>
      </c>
      <c r="I65" s="1">
        <f>SUMIF($G$4:$G$58,"Alcan Timber Inc",$I$4:$I$58)</f>
        <v>3911</v>
      </c>
      <c r="J65" s="1">
        <f>SUMIF($G$4:$G$58,"Alcan Timber Inc",$J$4:$J$58)</f>
        <v>0</v>
      </c>
      <c r="K65" s="1">
        <f>SUMIF($G$4:$G$58,"Alcan Timber Inc",$K$4:$K$58)</f>
        <v>3911</v>
      </c>
      <c r="L65" s="2">
        <f>SUMIF($G$4:$G$58,"Alcan Timber Inc",$L$4:$L$58)</f>
        <v>442529.89</v>
      </c>
    </row>
    <row r="66" spans="2:12" s="5" customFormat="1" ht="14.25" customHeight="1" x14ac:dyDescent="0.2">
      <c r="B66" s="78">
        <v>100531</v>
      </c>
      <c r="C66" s="15" t="s">
        <v>22</v>
      </c>
      <c r="D66" s="15"/>
      <c r="E66" s="6"/>
      <c r="F66" s="6"/>
      <c r="G66" s="26" t="s">
        <v>176</v>
      </c>
      <c r="I66" s="1">
        <f>SUMIF($G$4:$G$58,"Andrew Cowan",$I$4:$I$58)</f>
        <v>27.75</v>
      </c>
      <c r="J66" s="1">
        <f>SUMIF($G$4:$G$58,"Andrew Cowan",$J$4:$J$58)</f>
        <v>0</v>
      </c>
      <c r="K66" s="1">
        <f>SUMIF($G$4:$G$58,"Andrew Cowan",$K$4:$K$58)</f>
        <v>27.75</v>
      </c>
      <c r="L66" s="2">
        <f>SUMIF($G$4:$G$58,"Andrew Cowan",$L$4:$L$58)</f>
        <v>2008.02</v>
      </c>
    </row>
    <row r="67" spans="2:12" s="5" customFormat="1" ht="14.25" customHeight="1" x14ac:dyDescent="0.2">
      <c r="B67" s="78">
        <v>100532</v>
      </c>
      <c r="C67" s="15" t="s">
        <v>8</v>
      </c>
      <c r="D67" s="15"/>
      <c r="E67" s="6"/>
      <c r="F67" s="6"/>
      <c r="G67" s="26" t="s">
        <v>101</v>
      </c>
      <c r="I67" s="1">
        <f>SUMIF($G$4:$G$58,"Andrews and Sons LLC",$I$4:$I$58)</f>
        <v>215.06</v>
      </c>
      <c r="J67" s="1">
        <f>SUMIF($G$4:$G$58,"Andrews and Sons LLC",$J$4:$J$58)</f>
        <v>0</v>
      </c>
      <c r="K67" s="1">
        <f>SUMIF($G$11:$G$58,"Andrews and Sons LLC",$K$11:$K$58)</f>
        <v>215.06</v>
      </c>
      <c r="L67" s="2">
        <f>SUMIF($G$4:$G$58,"Andrews and Sons LLC",$L$4:$L$58)</f>
        <v>24293.07</v>
      </c>
    </row>
    <row r="68" spans="2:12" s="5" customFormat="1" ht="14.25" customHeight="1" x14ac:dyDescent="0.2">
      <c r="B68" s="78">
        <v>100533</v>
      </c>
      <c r="C68" s="15" t="s">
        <v>11</v>
      </c>
      <c r="D68" s="15"/>
      <c r="E68" s="6"/>
      <c r="F68" s="6"/>
      <c r="G68" s="26" t="s">
        <v>40</v>
      </c>
      <c r="I68" s="1">
        <f>SUMIF($G$4:$G$58,"City &amp; Borough of Sitka",$I$4:$I$58)</f>
        <v>0</v>
      </c>
      <c r="J68" s="1">
        <f>SUMIF($G$11:$G$58,"City &amp; Borough of Sitka",$J$11:$J$58)</f>
        <v>0</v>
      </c>
      <c r="K68" s="1">
        <f>SUMIF($G$11:$G$58,"City &amp; Borough of Sitka",$K$11:$K$58)</f>
        <v>0</v>
      </c>
      <c r="L68" s="2">
        <f>SUMIF($G$11:$G$58,"City &amp; Borough of Sitka",$L$11:$L$58)</f>
        <v>0</v>
      </c>
    </row>
    <row r="69" spans="2:12" s="5" customFormat="1" ht="14.25" customHeight="1" x14ac:dyDescent="0.2">
      <c r="B69" s="78">
        <v>100534</v>
      </c>
      <c r="C69" s="15" t="s">
        <v>23</v>
      </c>
      <c r="D69" s="15"/>
      <c r="E69" s="6"/>
      <c r="F69" s="6"/>
      <c r="G69" s="26" t="s">
        <v>84</v>
      </c>
      <c r="I69" s="1">
        <f>SUMIF($G$4:$G$58,"Cornerstone Excavation Serv LLC",$I$4:$I$58)</f>
        <v>0</v>
      </c>
      <c r="J69" s="1">
        <f>SUMIF($G$11:$G$58,"Cornerstone Excavation Serv LLC",$J$11:$J$58)</f>
        <v>0</v>
      </c>
      <c r="K69" s="1">
        <f>SUMIF($G$11:$G$58,"Cornerstone Excavation Serv LLC",$K$11:$K$58)</f>
        <v>0</v>
      </c>
      <c r="L69" s="2">
        <f>SUMIF($G$11:$G$58,"Cornerstone Excavation Serv LLC",$L$11:$L$58)</f>
        <v>0</v>
      </c>
    </row>
    <row r="70" spans="2:12" s="5" customFormat="1" ht="14.25" customHeight="1" x14ac:dyDescent="0.2">
      <c r="B70" s="78">
        <v>100535</v>
      </c>
      <c r="C70" s="15" t="s">
        <v>6</v>
      </c>
      <c r="D70" s="15"/>
      <c r="E70" s="6"/>
      <c r="F70" s="6"/>
      <c r="G70" s="26" t="s">
        <v>30</v>
      </c>
      <c r="I70" s="1">
        <f>SUMIF($G$4:$G$58,"DOT/PF State of Alaska",$I$4:$I$58)</f>
        <v>0</v>
      </c>
      <c r="J70" s="1">
        <f>SUMIF($G$11:$G$58,"DOT/PF State of Alaska",$J$11:$J$58)</f>
        <v>0</v>
      </c>
      <c r="K70" s="1">
        <f>SUMIF($G$11:$G$58,"DOT/PF State of Alaska",$K$11:$K$58)</f>
        <v>0</v>
      </c>
      <c r="L70" s="2">
        <f>SUMIF($G$11:$G$58,"DOT/PF State of Alaska",$L$11:$L$58)</f>
        <v>0</v>
      </c>
    </row>
    <row r="71" spans="2:12" s="5" customFormat="1" ht="14.25" customHeight="1" x14ac:dyDescent="0.2">
      <c r="B71" s="78">
        <v>100551</v>
      </c>
      <c r="C71" s="15" t="s">
        <v>9</v>
      </c>
      <c r="D71" s="15"/>
      <c r="E71" s="6"/>
      <c r="F71" s="6"/>
      <c r="G71" s="26" t="s">
        <v>135</v>
      </c>
      <c r="I71" s="1">
        <f>SUMIF($G$4:$G$58,"Ernie Eads",$I$4:$I$58)</f>
        <v>151</v>
      </c>
      <c r="J71" s="1">
        <f>SUMIF($G$11:$G$58,"Ernie Eads",$J$11:$J$58)</f>
        <v>43.16</v>
      </c>
      <c r="K71" s="1">
        <f>SUMIF($G$11:$G$58,"Ernie Eads",$K$11:$K$58)</f>
        <v>107.84</v>
      </c>
      <c r="L71" s="2">
        <f>SUMIF($G$11:$G$58,"Ernie Eads",$L$11:$L$58)</f>
        <v>16894.349999999999</v>
      </c>
    </row>
    <row r="72" spans="2:12" s="5" customFormat="1" ht="14.25" customHeight="1" x14ac:dyDescent="0.2">
      <c r="B72" s="78">
        <v>100552</v>
      </c>
      <c r="C72" s="15" t="s">
        <v>10</v>
      </c>
      <c r="D72" s="15"/>
      <c r="E72" s="6"/>
      <c r="F72" s="6"/>
      <c r="G72" s="40" t="s">
        <v>29</v>
      </c>
      <c r="I72" s="1">
        <f>SUMIF($G$4:$G$58,"Hecla Greens Creek Mining",$I$4:$I$58)</f>
        <v>895.92000000000007</v>
      </c>
      <c r="J72" s="1">
        <f>SUMIF($G$11:$G$58,"Hecla Greens Creek Mining",$J$11:$J$58)</f>
        <v>169.45</v>
      </c>
      <c r="K72" s="1">
        <f>SUMIF($G$11:$G$58,"Hecla Greens Creek Mining",$K$11:$K$58)</f>
        <v>726.47</v>
      </c>
      <c r="L72" s="2">
        <f>SUMIF($G$11:$G$58,"Hecla Greens Creek Mining",$L$11:$L$58)</f>
        <v>10905.06</v>
      </c>
    </row>
    <row r="73" spans="2:12" s="5" customFormat="1" ht="14.25" customHeight="1" x14ac:dyDescent="0.2">
      <c r="B73" s="78">
        <v>100554</v>
      </c>
      <c r="C73" s="15" t="s">
        <v>7</v>
      </c>
      <c r="D73" s="15"/>
      <c r="E73" s="6"/>
      <c r="F73" s="6"/>
      <c r="G73" s="26" t="s">
        <v>32</v>
      </c>
      <c r="I73" s="1">
        <f>SUMIF($G$4:$G$58,"Henry Drechnowicz",$I$4:$I$58)</f>
        <v>277</v>
      </c>
      <c r="J73" s="1">
        <f>SUMIF($G$11:$G$58,"Henry Drechnowicz",$J$11:$J$58)</f>
        <v>119</v>
      </c>
      <c r="K73" s="1">
        <f>SUMIF($G$11:$G$58,"Henry Drechnowicz",$K$11:$K$58)</f>
        <v>158</v>
      </c>
      <c r="L73" s="2">
        <f>SUMIF($G$11:$G$58,"Henry Drechnowicz",$L$11:$L$58)</f>
        <v>790</v>
      </c>
    </row>
    <row r="74" spans="2:12" s="5" customFormat="1" ht="14.25" customHeight="1" x14ac:dyDescent="0.2">
      <c r="D74" s="15"/>
      <c r="E74" s="6"/>
      <c r="F74" s="6"/>
      <c r="G74" s="26" t="s">
        <v>5</v>
      </c>
      <c r="I74" s="1">
        <f>SUMIF($G$4:$G$58,"Icy Straits Lumber &amp; Mill",$I$4:$I$58)</f>
        <v>426.36</v>
      </c>
      <c r="J74" s="1">
        <f t="array" ref="J74">SUMIF($G$11:$G$58,"Icy Straits Lumber &amp; Mill",$J$11:$J$58)</f>
        <v>91</v>
      </c>
      <c r="K74" s="1">
        <f t="array" ref="K74">SUMIF($G$11:$G$58,"Icy Straits Lumber &amp; Mill",$K$11:$K$58)</f>
        <v>335.36</v>
      </c>
      <c r="L74" s="2">
        <f t="array" ref="L74">SUMIF($G$11:$G$58,"Icy Straits Lumber &amp; Mill",$L$11:$L$58)</f>
        <v>20165.54</v>
      </c>
    </row>
    <row r="75" spans="2:12" s="5" customFormat="1" ht="14.25" customHeight="1" x14ac:dyDescent="0.2">
      <c r="B75" s="78"/>
      <c r="C75" s="15"/>
      <c r="D75" s="15"/>
      <c r="E75" s="6"/>
      <c r="F75" s="6"/>
      <c r="G75" s="26" t="s">
        <v>165</v>
      </c>
      <c r="I75" s="1">
        <f>SUMIF($G$4:$G$58,"James Stevens",$I$4:$I$58)</f>
        <v>156</v>
      </c>
      <c r="J75" s="1">
        <f>SUMIF($G$11:$G$58,"James Stevens",$J$11:$J$58)</f>
        <v>0</v>
      </c>
      <c r="K75" s="1">
        <f>SUMIF($G$11:$G$58,"James Stevens",$K$11:$K$58)</f>
        <v>156</v>
      </c>
      <c r="L75" s="2">
        <f>SUMIF($G$11:$G$58,"James Stevens",$L$11:$L$58)</f>
        <v>31251.96</v>
      </c>
    </row>
    <row r="76" spans="2:12" s="5" customFormat="1" ht="14.25" customHeight="1" x14ac:dyDescent="0.2">
      <c r="B76" s="78"/>
      <c r="C76" s="15"/>
      <c r="D76" s="15"/>
      <c r="E76" s="6"/>
      <c r="F76" s="6"/>
      <c r="G76" s="26" t="s">
        <v>149</v>
      </c>
      <c r="I76" s="1">
        <f>SUMIF($G$4:$G$58,"Jerry Baker",$I$4:$I$58)</f>
        <v>6.83</v>
      </c>
      <c r="J76" s="1">
        <f>SUMIF($G$11:$G$58,"Jerry Baker",$J$11:$J$58)</f>
        <v>2.91</v>
      </c>
      <c r="K76" s="1">
        <f>SUMIF($G$11:$G$58,"Jerry Baker",$K$11:$K$58)</f>
        <v>3.92</v>
      </c>
      <c r="L76" s="2">
        <f>SUMIF($G$11:$G$58,"Jerry Baker",$L$11:$L$58)</f>
        <v>212.19</v>
      </c>
    </row>
    <row r="77" spans="2:12" s="5" customFormat="1" ht="14.25" customHeight="1" x14ac:dyDescent="0.2">
      <c r="B77" s="78"/>
      <c r="C77" s="15"/>
      <c r="D77" s="15"/>
      <c r="E77" s="6"/>
      <c r="F77" s="6"/>
      <c r="G77" s="26" t="s">
        <v>35</v>
      </c>
      <c r="I77" s="1">
        <f>SUMIF($G$4:$G$57,"Jerod Cook",$I$4:$I$57)</f>
        <v>4.34</v>
      </c>
      <c r="J77" s="1">
        <f>SUMIF($G$11:$G$58,"Jerod Cook",$J$11:$J$58)</f>
        <v>0</v>
      </c>
      <c r="K77" s="1">
        <f>SUMIF($G$11:$G$58,"Jerod Cook",$K$11:$K$58)</f>
        <v>4.34</v>
      </c>
      <c r="L77" s="2">
        <f>SUMIF($G$11:$G$58,"Jerod Cook",$L$11:$L$58)</f>
        <v>234.92</v>
      </c>
    </row>
    <row r="78" spans="2:12" s="5" customFormat="1" ht="14.25" customHeight="1" x14ac:dyDescent="0.2">
      <c r="B78" s="78"/>
      <c r="C78" s="15"/>
      <c r="D78" s="15"/>
      <c r="E78" s="6"/>
      <c r="F78" s="6"/>
      <c r="G78" s="26" t="s">
        <v>140</v>
      </c>
      <c r="I78" s="1">
        <f>SUMIF($G$4:$G$57,"JK Forest Products LLC",$I$4:$I$57)</f>
        <v>591.56999999999994</v>
      </c>
      <c r="J78" s="1">
        <f>SUMIF($G$11:$G$58,"JK Forest Products LLC",$J$11:$J$58)</f>
        <v>0</v>
      </c>
      <c r="K78" s="1">
        <f>SUMIF($G$11:$G$58,"JK Forest Products LLC",$K$11:$K$58)</f>
        <v>591.56999999999994</v>
      </c>
      <c r="L78" s="2">
        <f>SUMIF($G$11:$G$58,"JK Forest Products LLC",$L$11:$L$58)</f>
        <v>13220.5</v>
      </c>
    </row>
    <row r="79" spans="2:12" s="5" customFormat="1" ht="14.25" customHeight="1" x14ac:dyDescent="0.2">
      <c r="B79" s="78"/>
      <c r="C79" s="15"/>
      <c r="D79" s="15"/>
      <c r="E79" s="6"/>
      <c r="F79" s="6"/>
      <c r="G79" s="26" t="s">
        <v>51</v>
      </c>
      <c r="I79" s="1">
        <f>SUMIF($G$4:$G$58,"K &amp; D Lumber",$I$4:$I$58)</f>
        <v>899.91</v>
      </c>
      <c r="J79" s="1">
        <f>SUMIF($G$11:$G$58,"K &amp; D Lumber",$J$11:$J$58)</f>
        <v>487.58</v>
      </c>
      <c r="K79" s="1">
        <f>SUMIF($G$11:$G$58,"K &amp; D Lumber",$K$11:$K$58)</f>
        <v>412.33</v>
      </c>
      <c r="L79" s="2">
        <f>SUMIF($G$11:$G$58,"K &amp; D Lumber",$L$11:$L$58)</f>
        <v>44327.979999999996</v>
      </c>
    </row>
    <row r="80" spans="2:12" s="5" customFormat="1" ht="14.25" customHeight="1" x14ac:dyDescent="0.2">
      <c r="B80" s="78"/>
      <c r="C80" s="15"/>
      <c r="D80" s="15"/>
      <c r="E80" s="6"/>
      <c r="F80" s="6"/>
      <c r="G80" s="26" t="s">
        <v>85</v>
      </c>
      <c r="I80" s="1">
        <f>SUMIF($G$4:$G$58,"Luther J. Coby",$I$4:$I$58)</f>
        <v>67.31</v>
      </c>
      <c r="J80" s="1">
        <f>SUMIF($G$11:$G$58,"Luther J. Coby",$J$11:$J$58)</f>
        <v>15.57</v>
      </c>
      <c r="K80" s="1">
        <f>SUMIF($G$11:$G$58,"Luther J. Coby",$K$11:$K$58)</f>
        <v>51.74</v>
      </c>
      <c r="L80" s="2">
        <f>SUMIF($G$11:$G$58,"Luther J. Coby",$L$11:$L$58)</f>
        <v>1501.04</v>
      </c>
    </row>
    <row r="81" spans="2:12" s="5" customFormat="1" ht="14.25" customHeight="1" x14ac:dyDescent="0.2">
      <c r="B81" s="78"/>
      <c r="C81" s="78"/>
      <c r="D81" s="78"/>
      <c r="E81" s="6"/>
      <c r="F81" s="6"/>
      <c r="G81" s="26" t="s">
        <v>48</v>
      </c>
      <c r="I81" s="1">
        <f>SUMIF($G$4:$G$58,"Micheal B Allen Jr",$I$4:$I$58)</f>
        <v>9802.6299999999992</v>
      </c>
      <c r="J81" s="1">
        <f>SUMIF($G$11:$G$58,"Micheal B Allen Jr",$J$11:$J$58)</f>
        <v>4006.85</v>
      </c>
      <c r="K81" s="1">
        <f>SUMIF($G$11:$G$58,"Micheal B Allen Jr",$K$11:$K$58)</f>
        <v>5795.7799999999988</v>
      </c>
      <c r="L81" s="2">
        <f>SUMIF($G$11:$G$58,"Micheal B Allen Jr",$L$11:$L$58)</f>
        <v>35399.589999999997</v>
      </c>
    </row>
    <row r="82" spans="2:12" s="5" customFormat="1" ht="14.25" customHeight="1" x14ac:dyDescent="0.2">
      <c r="B82" s="15"/>
      <c r="C82" s="15"/>
      <c r="D82" s="15"/>
      <c r="E82" s="6"/>
      <c r="F82" s="6"/>
      <c r="G82" s="26" t="s">
        <v>2</v>
      </c>
      <c r="I82" s="1">
        <f>SUMIF($G$4:$G$58,"Porter Lumber",$I$4:$I$58)</f>
        <v>0</v>
      </c>
      <c r="J82" s="1">
        <f t="array" ref="J82">SUMIF($G$11:$G$58,"Porter Lumber",$J$11:$J$58)</f>
        <v>0</v>
      </c>
      <c r="K82" s="1">
        <f t="array" ref="K82">SUMIF($G$11:$G$58,"Porter Lumber",$K$11:$K$58)</f>
        <v>0</v>
      </c>
      <c r="L82" s="2">
        <f t="array" ref="L82">SUMIF($G$11:$G$58,"Porter Lumber",$L$11:$L$58)</f>
        <v>0</v>
      </c>
    </row>
    <row r="83" spans="2:12" s="5" customFormat="1" ht="14.25" customHeight="1" x14ac:dyDescent="0.2">
      <c r="B83" s="15"/>
      <c r="C83" s="15"/>
      <c r="D83" s="15"/>
      <c r="E83" s="6"/>
      <c r="F83" s="6"/>
      <c r="G83" s="26" t="s">
        <v>38</v>
      </c>
      <c r="I83" s="1">
        <f>SUMIF($G$4:$G$58,"Ralph Dean Blankenship",$I$4:$I$58)</f>
        <v>2295.36</v>
      </c>
      <c r="J83" s="1">
        <f>SUMIF($G$11:$G$58,"Ralph Dean Blankenship",$J$11:$J$58)</f>
        <v>1705.62</v>
      </c>
      <c r="K83" s="1">
        <f>SUMIF($G$11:$G$58,"Ralph Dean Blankenship",$K$11:$K$58)</f>
        <v>589.74000000000024</v>
      </c>
      <c r="L83" s="2">
        <f>SUMIF($G$11:$G$58,"Ralph Dean Blankenship",$L$11:$L$58)</f>
        <v>178113.81</v>
      </c>
    </row>
    <row r="84" spans="2:12" s="5" customFormat="1" ht="14.25" customHeight="1" x14ac:dyDescent="0.2">
      <c r="B84" s="15"/>
      <c r="C84" s="15"/>
      <c r="D84" s="15"/>
      <c r="E84" s="6"/>
      <c r="F84" s="6"/>
      <c r="G84" s="26" t="s">
        <v>102</v>
      </c>
      <c r="I84" s="1">
        <f>SUMIF($G$4:$G$58,"Ronald S Wensel",$I$4:$I$58)</f>
        <v>0</v>
      </c>
      <c r="J84" s="1">
        <f>SUMIF($G$11:$G$58,"Ronald S Wensel",$J$11:$J$58)</f>
        <v>0</v>
      </c>
      <c r="K84" s="1">
        <f>SUMIF($G$11:$G$58,"Ronald S Wensel",$K$11:$K$58)</f>
        <v>0</v>
      </c>
      <c r="L84" s="2">
        <f>SUMIF($G$11:$G$58,"Ronald S Wensel",$L$11:$L$58)</f>
        <v>0</v>
      </c>
    </row>
    <row r="85" spans="2:12" s="5" customFormat="1" ht="14.25" customHeight="1" x14ac:dyDescent="0.2">
      <c r="B85" s="15"/>
      <c r="C85" s="15"/>
      <c r="D85" s="15"/>
      <c r="E85" s="6"/>
      <c r="F85" s="6"/>
      <c r="G85" s="26" t="s">
        <v>87</v>
      </c>
      <c r="I85" s="1">
        <f>SUMIF($G$4:$G$58,"Southeast Alaska Power Agency",$I$4:$I$58)</f>
        <v>0</v>
      </c>
      <c r="J85" s="1">
        <f>SUMIF($G$11:$G$58,"Southeast Alaska Power Agency",$J$11:$J$58)</f>
        <v>0</v>
      </c>
      <c r="K85" s="1">
        <f>SUMIF($G$11:$G$58,"Southeast Alaska Power Agency",$K$11:$K$58)</f>
        <v>0</v>
      </c>
      <c r="L85" s="2">
        <f>SUMIF($G$11:$G$58,"Southeast Alaska Power Agency",$L$11:$L$58)</f>
        <v>0</v>
      </c>
    </row>
    <row r="86" spans="2:12" s="5" customFormat="1" ht="14.25" customHeight="1" x14ac:dyDescent="0.2">
      <c r="B86" s="15"/>
      <c r="C86" s="15"/>
      <c r="D86" s="15"/>
      <c r="E86" s="6"/>
      <c r="F86" s="6"/>
      <c r="G86" s="26" t="s">
        <v>105</v>
      </c>
      <c r="I86" s="1">
        <f>SUMIF($G$4:$G$58,"Spencer F Pitcher",$I$4:$I$58)</f>
        <v>31.8</v>
      </c>
      <c r="J86" s="1">
        <f>SUMIF($G$11:$G$58,"Spencer F Pitcher",$J$11:$J$58)</f>
        <v>31.8</v>
      </c>
      <c r="K86" s="1">
        <f>SUMIF($G$11:$G$58,"Spencer F Pitcher",$K$11:$K$58)</f>
        <v>0</v>
      </c>
      <c r="L86" s="2">
        <f>SUMIF($G$11:$G$58,"Spencer F Pitcher",$L$11:$L$58)</f>
        <v>0</v>
      </c>
    </row>
    <row r="87" spans="2:12" s="5" customFormat="1" ht="14.25" customHeight="1" x14ac:dyDescent="0.2">
      <c r="B87" s="15"/>
      <c r="C87" s="15"/>
      <c r="D87" s="15"/>
      <c r="E87" s="6"/>
      <c r="F87" s="6"/>
      <c r="G87" s="26" t="s">
        <v>112</v>
      </c>
      <c r="I87" s="1">
        <f>SUMIF($G$4:$G$58,"Sterling Chew",$I$4:$I$58)</f>
        <v>83.47</v>
      </c>
      <c r="J87" s="1">
        <f>SUMIF($G$11:$G$58,"Sterling Chew",$J$11:$J$58)</f>
        <v>0</v>
      </c>
      <c r="K87" s="1">
        <f>SUMIF($G$11:$G$58,"Sterling Chew",$K$11:$K$58)</f>
        <v>83.47</v>
      </c>
      <c r="L87" s="2">
        <f>SUMIF($G$11:$G$58,"Sterling Chew",$L$11:$L$58)</f>
        <v>4386.57</v>
      </c>
    </row>
    <row r="88" spans="2:12" s="5" customFormat="1" ht="14.25" customHeight="1" x14ac:dyDescent="0.2">
      <c r="B88" s="15"/>
      <c r="C88" s="15"/>
      <c r="D88" s="15"/>
      <c r="E88" s="6"/>
      <c r="F88" s="6"/>
      <c r="G88" s="26" t="s">
        <v>106</v>
      </c>
      <c r="I88" s="1">
        <f>SUMIF($G$4:$G$58,"State of Alaska",$I$4:$I$58)</f>
        <v>32738.02</v>
      </c>
      <c r="J88" s="1">
        <f>SUMIF($G$11:$G$58,"State of Alaska",$J$11:$J$58)</f>
        <v>0</v>
      </c>
      <c r="K88" s="1">
        <f>SUMIF($G$11:$G$58,"State of Alaska",$K$11:$K$58)</f>
        <v>32738.02</v>
      </c>
      <c r="L88" s="2">
        <f>SUMIF($G$11:$G$58,"State of Alaska",$L$11:$L$58)</f>
        <v>945303.32000000007</v>
      </c>
    </row>
    <row r="89" spans="2:12" s="5" customFormat="1" ht="14.25" customHeight="1" x14ac:dyDescent="0.2">
      <c r="B89" s="15"/>
      <c r="C89" s="15"/>
      <c r="D89" s="15"/>
      <c r="E89" s="6"/>
      <c r="F89" s="6"/>
      <c r="G89" s="26" t="s">
        <v>129</v>
      </c>
      <c r="I89" s="1">
        <f>SUMIF($G$4:$G$58,"The Nature Conservancy",$I$4:$I$58)</f>
        <v>44.47</v>
      </c>
      <c r="J89" s="1">
        <f>SUMIF($G$11:$G$58,"The Nature Conservancy",$J$11:$J$58)</f>
        <v>0</v>
      </c>
      <c r="K89" s="1">
        <f>SUMIF($G$11:$G$58,"The Nature Conservancy",$K$11:$K$58)</f>
        <v>44.47</v>
      </c>
      <c r="L89" s="2">
        <f>SUMIF($G$11:$G$58,"The Nature Conservancy",$L$11:$L$58)</f>
        <v>1810.68</v>
      </c>
    </row>
    <row r="90" spans="2:12" s="5" customFormat="1" ht="14.25" customHeight="1" x14ac:dyDescent="0.2">
      <c r="B90" s="15"/>
      <c r="C90" s="15"/>
      <c r="D90" s="15"/>
      <c r="E90" s="6"/>
      <c r="F90" s="6"/>
      <c r="G90" s="26" t="s">
        <v>58</v>
      </c>
      <c r="I90" s="1">
        <f>SUMIF($G$4:$G$58,"T.L.C. Management, LLC",$I$4:$I$58)</f>
        <v>29.34</v>
      </c>
      <c r="J90" s="1">
        <f>SUMIF($G$11:$G$58,"T.L.C. Management, LLC",$J$11:$J$58)</f>
        <v>11.74</v>
      </c>
      <c r="K90" s="1">
        <f>SUMIF($G$11:$G$58,"T.L.C. Management, LLC",$K$11:$K$58)</f>
        <v>17.600000000000001</v>
      </c>
      <c r="L90" s="2">
        <f>SUMIF($G$11:$G$58,"T.L.C. Management, LLC",$L$11:$L$58)</f>
        <v>143.80000000000001</v>
      </c>
    </row>
    <row r="91" spans="2:12" s="5" customFormat="1" ht="14.25" customHeight="1" x14ac:dyDescent="0.2">
      <c r="B91" s="15"/>
      <c r="C91" s="15"/>
      <c r="D91" s="15"/>
      <c r="E91" s="6"/>
      <c r="F91" s="6"/>
      <c r="G91" s="89" t="s">
        <v>39</v>
      </c>
      <c r="I91" s="1">
        <v>94.66</v>
      </c>
      <c r="J91" s="1">
        <f>SUMIF($G$11:$G$57,"TM Construction, Inc
TM Construction, Inc",$J$11:$J$57)</f>
        <v>9.58</v>
      </c>
      <c r="K91" s="1">
        <f>SUMIF($G$11:$G$57,"TM Construction, Inc
TM Construction, Inc",$K$11:$K$57)</f>
        <v>85.08</v>
      </c>
      <c r="L91" s="2">
        <f>SUMIF($G$11:$G$57,"TM Construction, Inc
TM Construction, Inc",$L$11:$L$57)</f>
        <v>2048.15</v>
      </c>
    </row>
    <row r="92" spans="2:12" s="5" customFormat="1" ht="14.25" customHeight="1" x14ac:dyDescent="0.2">
      <c r="B92" s="15"/>
      <c r="C92" s="15"/>
      <c r="D92" s="15"/>
      <c r="E92" s="6"/>
      <c r="F92" s="6"/>
      <c r="G92" s="26" t="s">
        <v>16</v>
      </c>
      <c r="I92" s="1">
        <f>SUMIF($G$4:$G$58,"Viking Lumber Company",$I$4:$I$58)</f>
        <v>126402.9</v>
      </c>
      <c r="J92" s="1">
        <f t="array" ref="J92">SUMIF($G$11:$G$58,"Viking Lumber Company",$J$11:$J$58)</f>
        <v>113087.7</v>
      </c>
      <c r="K92" s="1">
        <f t="array" ref="K92">SUMIF($G$11:$G$58,"Viking Lumber Company",$K$11:$K$58)</f>
        <v>13315.199999999992</v>
      </c>
      <c r="L92" s="2">
        <f t="array" ref="L92">SUMIF($G$11:$G$58,"Viking Lumber Company",$L$11:$L$58)</f>
        <v>1468463.3</v>
      </c>
    </row>
    <row r="93" spans="2:12" s="5" customFormat="1" ht="14.25" customHeight="1" x14ac:dyDescent="0.2">
      <c r="B93" s="15"/>
      <c r="C93" s="15"/>
      <c r="D93" s="15"/>
      <c r="E93" s="6"/>
      <c r="F93" s="6"/>
      <c r="G93" s="26" t="s">
        <v>65</v>
      </c>
      <c r="I93" s="1">
        <f>SUMIF($G$4:$G$58,"Western Gold Cedar Products",$I$4:$I$58)</f>
        <v>1752</v>
      </c>
      <c r="J93" s="1">
        <f>SUMIF($G$11:$G$58,"Western Gold Cedar Products",$J$11:$J$58)</f>
        <v>0</v>
      </c>
      <c r="K93" s="1">
        <f>SUMIF($G$11:$G$58,"Western Gold Cedar Products",$K$11:$K$58)</f>
        <v>1752</v>
      </c>
      <c r="L93" s="2">
        <f>SUMIF($G$11:$G$58,"Western Gold Cedar Products",$L$11:$L$58)</f>
        <v>286459.49</v>
      </c>
    </row>
    <row r="94" spans="2:12" s="5" customFormat="1" ht="14.25" customHeight="1" x14ac:dyDescent="0.2">
      <c r="B94" s="15"/>
      <c r="C94" s="15"/>
      <c r="D94" s="15"/>
      <c r="E94" s="6"/>
      <c r="F94" s="6"/>
      <c r="G94" s="26" t="s">
        <v>181</v>
      </c>
      <c r="I94" s="1">
        <f>SUMIF($G$4:$G$58,"William Kaufman",$I$4:$I$58)</f>
        <v>2.87</v>
      </c>
      <c r="J94" s="1">
        <f>SUMIF($G$11:$G$58,"William Kaufman",$J$11:$J$58)</f>
        <v>0</v>
      </c>
      <c r="K94" s="1">
        <f>SUMIF($G$11:$G$58,"William Kaufman",$K$11:$K$58)</f>
        <v>2.87</v>
      </c>
      <c r="L94" s="2">
        <f>SUMIF($G$11:$G$58,"William Kaufman",$L$11:$L$58)</f>
        <v>155.35</v>
      </c>
    </row>
    <row r="95" spans="2:12" s="5" customFormat="1" ht="14.25" customHeight="1" thickBot="1" x14ac:dyDescent="0.25">
      <c r="B95" s="15"/>
      <c r="C95" s="15"/>
      <c r="D95" s="15"/>
      <c r="E95" s="6"/>
      <c r="F95" s="6"/>
      <c r="G95" s="26"/>
      <c r="I95" s="3"/>
      <c r="J95" s="3"/>
      <c r="K95" s="3"/>
      <c r="L95" s="4"/>
    </row>
    <row r="96" spans="2:12" s="5" customFormat="1" ht="14.25" customHeight="1" x14ac:dyDescent="0.2">
      <c r="B96" s="15"/>
      <c r="C96" s="15"/>
      <c r="D96" s="15"/>
      <c r="E96" s="6"/>
      <c r="F96" s="6"/>
      <c r="G96" s="26"/>
      <c r="H96" s="20"/>
      <c r="I96" s="1">
        <f>SUM(I61:I95)</f>
        <v>208140.21999999997</v>
      </c>
      <c r="J96" s="1">
        <f>SUM(J61:J95)</f>
        <v>145895.25</v>
      </c>
      <c r="K96" s="1">
        <f>SUM(K61:K95)</f>
        <v>62244.969999999994</v>
      </c>
      <c r="L96" s="2">
        <f>SUM(L61:L95)</f>
        <v>3553177.28</v>
      </c>
    </row>
    <row r="97" spans="1:12" s="5" customFormat="1" ht="14.25" customHeight="1" x14ac:dyDescent="0.2">
      <c r="B97" s="15"/>
      <c r="C97" s="15"/>
      <c r="D97" s="15"/>
      <c r="E97" s="6"/>
      <c r="F97" s="6"/>
      <c r="G97" s="7"/>
      <c r="H97" s="7"/>
      <c r="I97" s="1"/>
      <c r="J97" s="1"/>
      <c r="K97" s="1"/>
      <c r="L97" s="2"/>
    </row>
    <row r="98" spans="1:12" s="5" customFormat="1" ht="14.25" customHeight="1" x14ac:dyDescent="0.2">
      <c r="B98" s="15"/>
      <c r="C98" s="15"/>
      <c r="D98" s="15"/>
      <c r="E98" s="6"/>
      <c r="F98" s="6"/>
      <c r="G98" s="9"/>
      <c r="I98" s="1"/>
      <c r="J98" s="1"/>
      <c r="K98" s="1"/>
      <c r="L98" s="2"/>
    </row>
    <row r="99" spans="1:12" s="5" customFormat="1" ht="14.25" customHeight="1" x14ac:dyDescent="0.2">
      <c r="B99" s="15"/>
      <c r="C99" s="15"/>
      <c r="D99" s="15"/>
      <c r="E99" s="6"/>
      <c r="F99" s="6"/>
      <c r="G99" s="9"/>
      <c r="I99" s="1"/>
      <c r="J99" s="1"/>
      <c r="K99" s="1"/>
      <c r="L99" s="2"/>
    </row>
    <row r="100" spans="1:12" x14ac:dyDescent="0.2">
      <c r="G100" s="9"/>
      <c r="H100" s="5"/>
      <c r="I100" s="1"/>
      <c r="J100" s="1"/>
      <c r="K100" s="1"/>
      <c r="L100" s="2"/>
    </row>
    <row r="101" spans="1:12" ht="15.4" customHeight="1" thickBot="1" x14ac:dyDescent="0.25">
      <c r="A101" s="91"/>
      <c r="C101" s="9" t="s">
        <v>91</v>
      </c>
      <c r="D101" s="92"/>
      <c r="E101" s="11" t="s">
        <v>0</v>
      </c>
      <c r="F101" s="24"/>
      <c r="G101" s="9"/>
      <c r="H101" s="5"/>
      <c r="I101" s="1"/>
      <c r="J101" s="1"/>
      <c r="K101" s="1"/>
      <c r="L101" s="2"/>
    </row>
    <row r="102" spans="1:12" s="5" customFormat="1" x14ac:dyDescent="0.2">
      <c r="B102" s="78"/>
      <c r="C102" s="15"/>
      <c r="D102" s="15"/>
      <c r="E102" s="9" t="s">
        <v>68</v>
      </c>
      <c r="F102" s="6"/>
      <c r="G102" s="9"/>
      <c r="I102" s="1">
        <f>SUMIF($B$11:$B$58,"100410",$I$11:$I$58)</f>
        <v>0</v>
      </c>
      <c r="J102" s="1">
        <f>SUMIF($B$11:$B$58,"100410",$J$11:$J$58)</f>
        <v>0</v>
      </c>
      <c r="K102" s="1">
        <f>SUMIF($B$11:$B$58,"100410",$K$11:$K$58)</f>
        <v>0</v>
      </c>
      <c r="L102" s="2">
        <f>SUMIF($B$11:$B$58,"100410",$L$11:$L$58)</f>
        <v>0</v>
      </c>
    </row>
    <row r="103" spans="1:12" s="5" customFormat="1" x14ac:dyDescent="0.2">
      <c r="B103" s="78"/>
      <c r="C103" s="15"/>
      <c r="D103" s="15"/>
      <c r="E103" s="9" t="s">
        <v>69</v>
      </c>
      <c r="F103" s="6"/>
      <c r="G103" s="9"/>
      <c r="I103" s="1">
        <f t="array" ref="I103">SUMIF($B$11:$B$58,"100420",$I$11:$I$58)</f>
        <v>0</v>
      </c>
      <c r="J103" s="1">
        <f t="array" ref="J103">SUMIF($B$11:$B$58,"100420",$J$11:$J$58)</f>
        <v>0</v>
      </c>
      <c r="K103" s="1">
        <f>SUMIF($B$11:$B$58,"100420",$K$11:$K$58)</f>
        <v>0</v>
      </c>
      <c r="L103" s="2">
        <f t="array" ref="L103">SUMIF($B$11:$B$58,"100420",$L$11:$L$58)</f>
        <v>0</v>
      </c>
    </row>
    <row r="104" spans="1:12" s="5" customFormat="1" x14ac:dyDescent="0.2">
      <c r="B104" s="78"/>
      <c r="C104" s="15"/>
      <c r="D104" s="15"/>
      <c r="E104" s="9" t="s">
        <v>70</v>
      </c>
      <c r="F104" s="6"/>
      <c r="G104" s="9"/>
      <c r="I104" s="1">
        <f t="array" ref="I104">SUMIF($B$11:$B$58,"100430",$I$11:$I$58)</f>
        <v>492.06</v>
      </c>
      <c r="J104" s="1">
        <f t="array" ref="J104">SUMIF($B$11:$B$58,"100430",$J$11:$J$58)</f>
        <v>119</v>
      </c>
      <c r="K104" s="1">
        <f t="array" ref="K104">SUMIF($B$11:$B$58,"100430",$K$11:$K$58)</f>
        <v>373.06</v>
      </c>
      <c r="L104" s="2">
        <f t="array" ref="L104">SUMIF($B$11:$B$58,"100430",$L$11:$L$58)</f>
        <v>25083.07</v>
      </c>
    </row>
    <row r="105" spans="1:12" s="5" customFormat="1" x14ac:dyDescent="0.2">
      <c r="B105" s="78"/>
      <c r="C105" s="15"/>
      <c r="D105" s="15"/>
      <c r="E105" s="9"/>
      <c r="F105" s="6"/>
      <c r="G105" s="9"/>
      <c r="I105" s="1"/>
      <c r="J105" s="1"/>
      <c r="K105" s="1"/>
      <c r="L105" s="2"/>
    </row>
    <row r="106" spans="1:12" s="5" customFormat="1" ht="15.75" thickBot="1" x14ac:dyDescent="0.25">
      <c r="B106" s="78"/>
      <c r="C106" s="15"/>
      <c r="D106" s="15"/>
      <c r="E106" s="10" t="s">
        <v>3</v>
      </c>
      <c r="F106" s="93"/>
      <c r="G106" s="9"/>
      <c r="I106" s="1"/>
      <c r="J106" s="1"/>
      <c r="K106" s="1"/>
      <c r="L106" s="2"/>
    </row>
    <row r="107" spans="1:12" s="5" customFormat="1" x14ac:dyDescent="0.2">
      <c r="B107" s="78"/>
      <c r="C107" s="15"/>
      <c r="D107" s="15"/>
      <c r="E107" s="9" t="s">
        <v>71</v>
      </c>
      <c r="F107" s="6"/>
      <c r="G107" s="9"/>
      <c r="I107" s="1">
        <f t="array" ref="I107">SUMIF($B$11:$B$58,"100521",$I$11:$I$58)</f>
        <v>99.4</v>
      </c>
      <c r="J107" s="1">
        <f t="array" ref="J107">SUMIF($B$11:$B$58,"100521",$J$11:$J$58)</f>
        <v>15.57</v>
      </c>
      <c r="K107" s="1">
        <f t="array" ref="K107">SUMIF($B$11:$B$58,"100521",$K$11:$K$58)</f>
        <v>83.830000000000013</v>
      </c>
      <c r="L107" s="2">
        <f t="array" ref="L107">SUMIF($B$11:$B$58,"100521",$L$11:$L$58)</f>
        <v>3743.98</v>
      </c>
    </row>
    <row r="108" spans="1:12" s="5" customFormat="1" x14ac:dyDescent="0.2">
      <c r="B108" s="78"/>
      <c r="C108" s="15"/>
      <c r="D108" s="15"/>
      <c r="E108" s="9" t="s">
        <v>72</v>
      </c>
      <c r="F108" s="6"/>
      <c r="G108" s="9"/>
      <c r="I108" s="1">
        <f t="array" ref="I108">SUMIF($B$11:$B$58,"100522",$I$11:$I$58)</f>
        <v>36829.269999999997</v>
      </c>
      <c r="J108" s="1">
        <f t="array" ref="J108">SUMIF($B$11:$B$58,"100522",$J$11:$J$58)</f>
        <v>29952.94</v>
      </c>
      <c r="K108" s="1">
        <f t="array" ref="K108">SUMIF($B$11:$B$58,"100522",$K$11:$K$58)</f>
        <v>6876.3299999999981</v>
      </c>
      <c r="L108" s="2">
        <f t="array" ref="L108">SUMIF($B$11:$B$58,"100522",$L$11:$L$58)</f>
        <v>54648.679999999993</v>
      </c>
    </row>
    <row r="109" spans="1:12" s="5" customFormat="1" x14ac:dyDescent="0.2">
      <c r="B109" s="78"/>
      <c r="C109" s="15"/>
      <c r="D109" s="15"/>
      <c r="E109" s="9" t="s">
        <v>73</v>
      </c>
      <c r="F109" s="6"/>
      <c r="G109" s="9"/>
      <c r="I109" s="1">
        <f t="array" ref="I109">SUMIF($B$11:$B$58,"100531",$I$11:$I$58)</f>
        <v>207.47</v>
      </c>
      <c r="J109" s="1">
        <f t="array" ref="J109">SUMIF($B$11:$B$58,"100531",$J$11:$J$58)</f>
        <v>21.32</v>
      </c>
      <c r="K109" s="1">
        <f t="array" ref="K109">SUMIF($B$11:$B$58,"100531",$K$11:$K$58)</f>
        <v>186.14999999999998</v>
      </c>
      <c r="L109" s="2">
        <f t="array" ref="L109">SUMIF($B$11:$B$58,"100531",$L$11:$L$58)</f>
        <v>6578.52</v>
      </c>
    </row>
    <row r="110" spans="1:12" s="5" customFormat="1" x14ac:dyDescent="0.2">
      <c r="B110" s="78"/>
      <c r="C110" s="15"/>
      <c r="D110" s="15"/>
      <c r="E110" s="9" t="s">
        <v>74</v>
      </c>
      <c r="F110" s="6"/>
      <c r="G110" s="9"/>
      <c r="I110" s="1">
        <f t="array" ref="I110">SUMIF($B$11:$B$58,"100532",$I$11:$I$58)</f>
        <v>426.36</v>
      </c>
      <c r="J110" s="1">
        <f t="array" ref="J110">SUMIF($B$11:$B$58,"100532",$J$11:$J$58)</f>
        <v>91</v>
      </c>
      <c r="K110" s="1">
        <f t="array" ref="K110">SUMIF($B$11:$B$58,"100532",$K$11:$K$58)</f>
        <v>335.36</v>
      </c>
      <c r="L110" s="2">
        <f t="array" ref="L110">SUMIF($B$11:$B$58,"100532",$L$11:$L$58)</f>
        <v>20165.54</v>
      </c>
    </row>
    <row r="111" spans="1:12" s="5" customFormat="1" x14ac:dyDescent="0.2">
      <c r="B111" s="78"/>
      <c r="C111" s="15"/>
      <c r="D111" s="15"/>
      <c r="E111" s="9" t="s">
        <v>75</v>
      </c>
      <c r="F111" s="6"/>
      <c r="G111" s="9"/>
      <c r="I111" s="1">
        <f t="array" ref="I111">SUMIF($B$11:$B$58,"100533",$I$11:$I$58)</f>
        <v>895.92000000000007</v>
      </c>
      <c r="J111" s="1">
        <f t="array" ref="J111">SUMIF($B$11:$B$58,"100533",$J$11:$J$58)</f>
        <v>169.45</v>
      </c>
      <c r="K111" s="1">
        <f>SUMIF($B$11:$B$58,"100533",$K$11:$K$58)</f>
        <v>726.47</v>
      </c>
      <c r="L111" s="2">
        <f t="array" ref="L111">SUMIF($B$11:$B$58,"100533",$L$11:$L$58)</f>
        <v>10905.06</v>
      </c>
    </row>
    <row r="112" spans="1:12" s="5" customFormat="1" x14ac:dyDescent="0.2">
      <c r="B112" s="78"/>
      <c r="C112" s="15"/>
      <c r="D112" s="15"/>
      <c r="E112" s="9" t="s">
        <v>76</v>
      </c>
      <c r="F112" s="6"/>
      <c r="G112" s="9"/>
      <c r="I112" s="1">
        <f>SUMIF($B$11:$B$58,"100534",$I$11:$I$58)</f>
        <v>0</v>
      </c>
      <c r="J112" s="1">
        <f>SUMIF($B$11:$B$58,"100534",$J$11:$J$58)</f>
        <v>0</v>
      </c>
      <c r="K112" s="1">
        <f>SUMIF($B$11:$B$58,"100534",$K$11:$K$58)</f>
        <v>0</v>
      </c>
      <c r="L112" s="2">
        <f t="array" ref="L112">SUMIF($B$11:$B$58,"100534",$L$11:$L$58)</f>
        <v>0</v>
      </c>
    </row>
    <row r="113" spans="1:12" s="5" customFormat="1" x14ac:dyDescent="0.2">
      <c r="B113" s="78"/>
      <c r="C113" s="15"/>
      <c r="D113" s="15"/>
      <c r="E113" s="9" t="s">
        <v>77</v>
      </c>
      <c r="F113" s="6"/>
      <c r="I113" s="1">
        <f t="array" ref="I113">SUMIF($B$11:$B$58,"100535",$I$11:$I$58)</f>
        <v>0</v>
      </c>
      <c r="J113" s="1">
        <f t="array" ref="J113">SUMIF($B$11:$B$58,"100535",$J$11:$J$58)</f>
        <v>0</v>
      </c>
      <c r="K113" s="1">
        <f>SUMIF($B$11:$B$58,"100535",$K$11:$K$58)</f>
        <v>0</v>
      </c>
      <c r="L113" s="2">
        <f t="array" ref="L113">SUMIF($B$11:$B$58,"100535",$L$11:$L$58)</f>
        <v>0</v>
      </c>
    </row>
    <row r="114" spans="1:12" s="5" customFormat="1" x14ac:dyDescent="0.2">
      <c r="B114" s="78"/>
      <c r="C114" s="15"/>
      <c r="D114" s="15"/>
      <c r="E114" s="9" t="s">
        <v>78</v>
      </c>
      <c r="F114" s="6"/>
      <c r="G114" s="20"/>
      <c r="H114" s="8"/>
      <c r="I114" s="1">
        <f t="array" ref="I114">SUMIF($B$11:$B$58,"100551",$I$11:$I$58)</f>
        <v>6.83</v>
      </c>
      <c r="J114" s="1">
        <f t="array" ref="J114">SUMIF($B$11:$B$58,"100551",$J$11:$J$58)</f>
        <v>2.91</v>
      </c>
      <c r="K114" s="1">
        <f t="array" ref="K114">SUMIF($B$11:$B$58,"100551",$K$11:$K$58)</f>
        <v>3.92</v>
      </c>
      <c r="L114" s="2">
        <f t="array" ref="L114">SUMIF($B$11:$B$58,"100551",$L$11:$L$58)</f>
        <v>212.19</v>
      </c>
    </row>
    <row r="115" spans="1:12" s="5" customFormat="1" x14ac:dyDescent="0.2">
      <c r="B115" s="78"/>
      <c r="C115" s="15"/>
      <c r="D115" s="15"/>
      <c r="E115" s="9" t="s">
        <v>79</v>
      </c>
      <c r="F115" s="6"/>
      <c r="G115" s="8"/>
      <c r="H115" s="7"/>
      <c r="I115" s="1">
        <f t="array" ref="I115">SUMIF($B$11:$B$58,"100552",$I$11:$I$58)</f>
        <v>2729.9</v>
      </c>
      <c r="J115" s="1">
        <f t="array" ref="J115">SUMIF($B$11:$B$58,"100552",$J$11:$J$58)</f>
        <v>0</v>
      </c>
      <c r="K115" s="1">
        <f t="array" ref="K115">SUMIF($B$11:$B$58,"100552",$K$11:$K$58)</f>
        <v>2729.9</v>
      </c>
      <c r="L115" s="2">
        <f>SUMIF($B$11:$B$58,"100552",$L$11:$L$58)</f>
        <v>23525.4</v>
      </c>
    </row>
    <row r="116" spans="1:12" s="5" customFormat="1" ht="15.75" thickBot="1" x14ac:dyDescent="0.25">
      <c r="B116" s="78"/>
      <c r="C116" s="15"/>
      <c r="D116" s="15"/>
      <c r="E116" s="9" t="s">
        <v>80</v>
      </c>
      <c r="F116" s="6"/>
      <c r="G116" s="8"/>
      <c r="H116" s="7"/>
      <c r="I116" s="3">
        <f>SUMIF($B$4:$B$58,"100554",$I$4:$I$58)</f>
        <v>166453.01</v>
      </c>
      <c r="J116" s="3">
        <f>SUMIF($B$4:$B$58,"100554",$J$4:$J$58)</f>
        <v>115523.06</v>
      </c>
      <c r="K116" s="3">
        <f>SUMIF($B$4:$B$58,"100554",$K$4:$K$58)</f>
        <v>50929.94999999999</v>
      </c>
      <c r="L116" s="4">
        <f>SUMIF($B$4:$B$58,"100554",$L$4:$L$58)</f>
        <v>3408314.8400000003</v>
      </c>
    </row>
    <row r="117" spans="1:12" s="5" customFormat="1" x14ac:dyDescent="0.2">
      <c r="B117" s="15"/>
      <c r="C117" s="15"/>
      <c r="D117" s="15"/>
      <c r="F117" s="6"/>
      <c r="G117" s="8"/>
      <c r="H117" s="7"/>
      <c r="I117" s="1"/>
      <c r="J117" s="1"/>
      <c r="K117" s="1"/>
      <c r="L117" s="2"/>
    </row>
    <row r="118" spans="1:12" s="5" customFormat="1" ht="14.25" customHeight="1" x14ac:dyDescent="0.2">
      <c r="B118" s="15"/>
      <c r="C118" s="15"/>
      <c r="D118" s="15"/>
      <c r="E118" s="20" t="s">
        <v>92</v>
      </c>
      <c r="F118" s="6"/>
      <c r="G118" s="8"/>
      <c r="H118" s="8"/>
      <c r="I118" s="1">
        <f>SUM(I102:I116)</f>
        <v>208140.22</v>
      </c>
      <c r="J118" s="1">
        <f>SUM(J102:J116)</f>
        <v>145895.25</v>
      </c>
      <c r="K118" s="1">
        <f>SUM(K102:K116)</f>
        <v>62244.969999999987</v>
      </c>
      <c r="L118" s="2">
        <f>SUM(L102:L116)</f>
        <v>3553177.2800000003</v>
      </c>
    </row>
    <row r="119" spans="1:12" x14ac:dyDescent="0.2">
      <c r="E119" s="8"/>
    </row>
    <row r="120" spans="1:12" x14ac:dyDescent="0.2">
      <c r="E120" s="8" t="s">
        <v>63</v>
      </c>
      <c r="I120" s="22">
        <f>I60</f>
        <v>208140.22</v>
      </c>
      <c r="J120" s="22">
        <f>J60</f>
        <v>145895.25</v>
      </c>
      <c r="K120" s="22">
        <f>K60</f>
        <v>62244.969999999994</v>
      </c>
      <c r="L120" s="23">
        <f>L60</f>
        <v>3553177.2800000003</v>
      </c>
    </row>
    <row r="121" spans="1:12" x14ac:dyDescent="0.2">
      <c r="E121" s="8"/>
      <c r="L121" s="23"/>
    </row>
    <row r="122" spans="1:12" x14ac:dyDescent="0.2">
      <c r="E122" s="8" t="s">
        <v>64</v>
      </c>
      <c r="I122" s="22">
        <f>I96</f>
        <v>208140.21999999997</v>
      </c>
      <c r="J122" s="22">
        <f>J96</f>
        <v>145895.25</v>
      </c>
      <c r="K122" s="22">
        <f>K96</f>
        <v>62244.969999999994</v>
      </c>
      <c r="L122" s="23">
        <f>L96</f>
        <v>3553177.28</v>
      </c>
    </row>
    <row r="126" spans="1:12" x14ac:dyDescent="0.2">
      <c r="A126" s="94"/>
    </row>
    <row r="149" spans="1:1" x14ac:dyDescent="0.2">
      <c r="A149" s="94"/>
    </row>
    <row r="150" spans="1:1" x14ac:dyDescent="0.2">
      <c r="A150" s="7" t="s">
        <v>154</v>
      </c>
    </row>
  </sheetData>
  <sortState xmlns:xlrd2="http://schemas.microsoft.com/office/spreadsheetml/2017/richdata2" ref="G86:L120">
    <sortCondition ref="G86:G120"/>
  </sortState>
  <phoneticPr fontId="0" type="noConversion"/>
  <printOptions horizontalCentered="1" gridLines="1"/>
  <pageMargins left="0.25" right="0.25" top="0.5" bottom="0.5" header="0" footer="0"/>
  <pageSetup scale="68" fitToHeight="0" orientation="landscape" cellComments="atEnd" r:id="rId1"/>
  <headerFooter>
    <oddFooter>&amp;F&amp;RPage &amp;P</oddFooter>
  </headerFooter>
  <rowBreaks count="3" manualBreakCount="3">
    <brk id="42" max="16383" man="1"/>
    <brk id="60" max="16383" man="1"/>
    <brk id="10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Volume Under Contract</vt:lpstr>
      <vt:lpstr>'Volume Under Contract'!Print_Titles</vt:lpstr>
    </vt:vector>
  </TitlesOfParts>
  <Company>USDA Forest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USDA FOREST SERVICE</dc:creator>
  <cp:lastModifiedBy>Holley, Teresa J -FS</cp:lastModifiedBy>
  <cp:lastPrinted>2019-10-10T20:44:26Z</cp:lastPrinted>
  <dcterms:created xsi:type="dcterms:W3CDTF">2000-01-21T21:34:04Z</dcterms:created>
  <dcterms:modified xsi:type="dcterms:W3CDTF">2019-10-22T16:34:01Z</dcterms:modified>
</cp:coreProperties>
</file>