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weston\Documents\FACTS &amp; TIM\R10 Website Reports\Timber Vol under Contract May 2019\"/>
    </mc:Choice>
  </mc:AlternateContent>
  <bookViews>
    <workbookView xWindow="-15" yWindow="105" windowWidth="15405" windowHeight="7650" tabRatio="318"/>
  </bookViews>
  <sheets>
    <sheet name="Volume Under Contract" sheetId="1" r:id="rId1"/>
  </sheets>
  <definedNames>
    <definedName name="_xlnm.Print_Titles" localSheetId="0">'Volume Under Contract'!$1:$2</definedName>
  </definedNames>
  <calcPr calcId="152511"/>
</workbook>
</file>

<file path=xl/calcChain.xml><?xml version="1.0" encoding="utf-8"?>
<calcChain xmlns="http://schemas.openxmlformats.org/spreadsheetml/2006/main">
  <c r="K47" i="1" l="1"/>
  <c r="K34" i="1"/>
  <c r="K9" i="1"/>
  <c r="K6" i="1"/>
  <c r="K5" i="1"/>
  <c r="K4" i="1"/>
  <c r="K61" i="1"/>
  <c r="A61" i="1"/>
  <c r="K60" i="1"/>
  <c r="A60" i="1"/>
  <c r="A27" i="1" l="1"/>
  <c r="L102" i="1" l="1"/>
  <c r="K102" i="1"/>
  <c r="J102" i="1"/>
  <c r="I102" i="1"/>
  <c r="L74" i="1"/>
  <c r="K74" i="1"/>
  <c r="J74" i="1"/>
  <c r="I74" i="1"/>
  <c r="A15" i="1"/>
  <c r="A44" i="1"/>
  <c r="A37" i="1"/>
  <c r="A8" i="1" l="1"/>
  <c r="A7" i="1"/>
  <c r="A6" i="1"/>
  <c r="A5" i="1"/>
  <c r="A4" i="1"/>
  <c r="A11" i="1" l="1"/>
  <c r="A12" i="1"/>
  <c r="A13" i="1"/>
  <c r="A14" i="1"/>
  <c r="A16" i="1"/>
  <c r="A17" i="1"/>
  <c r="A18" i="1"/>
  <c r="A19" i="1"/>
  <c r="A20" i="1"/>
  <c r="A21" i="1"/>
  <c r="A22" i="1"/>
  <c r="A23" i="1"/>
  <c r="A24" i="1"/>
  <c r="A25" i="1"/>
  <c r="A59" i="1" l="1"/>
  <c r="A58" i="1"/>
  <c r="A26" i="1"/>
  <c r="A28" i="1"/>
  <c r="A29" i="1"/>
  <c r="A30" i="1"/>
  <c r="A31" i="1"/>
  <c r="A32" i="1"/>
  <c r="A33" i="1"/>
  <c r="A34" i="1"/>
  <c r="A35" i="1"/>
  <c r="A36" i="1"/>
  <c r="A38" i="1"/>
  <c r="A39" i="1"/>
  <c r="A40" i="1"/>
  <c r="A41" i="1"/>
  <c r="A42" i="1"/>
  <c r="A43" i="1"/>
  <c r="A45" i="1"/>
  <c r="A46" i="1"/>
  <c r="A47" i="1"/>
  <c r="A48" i="1"/>
  <c r="A49" i="1"/>
  <c r="A50" i="1"/>
  <c r="A51" i="1"/>
  <c r="A52" i="1"/>
  <c r="A9" i="1"/>
  <c r="A10" i="1"/>
  <c r="L100" i="1" l="1"/>
  <c r="K100" i="1"/>
  <c r="J100" i="1"/>
  <c r="I100" i="1"/>
  <c r="L99" i="1"/>
  <c r="K99" i="1"/>
  <c r="J99" i="1"/>
  <c r="I99" i="1"/>
  <c r="C54" i="1"/>
  <c r="I54" i="1"/>
  <c r="J54" i="1"/>
  <c r="K54" i="1"/>
  <c r="L54" i="1"/>
  <c r="L97" i="1" l="1"/>
  <c r="K97" i="1"/>
  <c r="J97" i="1"/>
  <c r="I97" i="1"/>
  <c r="L71" i="1" l="1"/>
  <c r="J71" i="1"/>
  <c r="I71" i="1"/>
  <c r="L63" i="1" l="1"/>
  <c r="J63" i="1"/>
  <c r="I63" i="1"/>
  <c r="K59" i="1"/>
  <c r="K71" i="1" s="1"/>
  <c r="K58" i="1" l="1"/>
  <c r="C63" i="1" l="1"/>
  <c r="H63" i="1"/>
  <c r="K63" i="1"/>
  <c r="L98" i="1" l="1"/>
  <c r="K98" i="1"/>
  <c r="J98" i="1"/>
  <c r="I98" i="1"/>
  <c r="L92" i="1"/>
  <c r="K92" i="1"/>
  <c r="J92" i="1"/>
  <c r="I92" i="1"/>
  <c r="L76" i="1"/>
  <c r="K76" i="1"/>
  <c r="J76" i="1"/>
  <c r="I76" i="1"/>
  <c r="L90" i="1"/>
  <c r="K90" i="1"/>
  <c r="J90" i="1"/>
  <c r="I90" i="1"/>
  <c r="L78" i="1" a="1"/>
  <c r="L78" i="1" s="1"/>
  <c r="K78" i="1" a="1"/>
  <c r="K78" i="1" s="1"/>
  <c r="J78" i="1" a="1"/>
  <c r="J78" i="1" s="1"/>
  <c r="I78" i="1" a="1"/>
  <c r="I78" i="1" s="1"/>
  <c r="L73" i="1" a="1"/>
  <c r="L73" i="1" s="1"/>
  <c r="K73" i="1" a="1"/>
  <c r="K73" i="1" s="1"/>
  <c r="J73" i="1" a="1"/>
  <c r="J73" i="1" s="1"/>
  <c r="I73" i="1" a="1"/>
  <c r="I73" i="1" s="1"/>
  <c r="I83" i="1"/>
  <c r="L72" i="1"/>
  <c r="K72" i="1"/>
  <c r="J72" i="1"/>
  <c r="I72" i="1"/>
  <c r="L79" i="1" l="1"/>
  <c r="K79" i="1"/>
  <c r="J79" i="1"/>
  <c r="I79" i="1"/>
  <c r="L80" i="1"/>
  <c r="K80" i="1"/>
  <c r="J80" i="1"/>
  <c r="I80" i="1"/>
  <c r="J65" i="1" l="1"/>
  <c r="K65" i="1"/>
  <c r="L65" i="1"/>
  <c r="I65" i="1"/>
  <c r="H54" i="1"/>
  <c r="H65" i="1" s="1"/>
  <c r="C65" i="1"/>
  <c r="L67" i="1" l="1"/>
  <c r="K67" i="1"/>
  <c r="J67" i="1"/>
  <c r="I67" i="1"/>
  <c r="L66" i="1" l="1"/>
  <c r="K66" i="1"/>
  <c r="J66" i="1"/>
  <c r="I66" i="1"/>
  <c r="L106" i="1" l="1"/>
  <c r="K106" i="1"/>
  <c r="J106" i="1"/>
  <c r="I106" i="1"/>
  <c r="L91" i="1" l="1"/>
  <c r="K91" i="1"/>
  <c r="J91" i="1"/>
  <c r="I91" i="1"/>
  <c r="L103" i="1" l="1"/>
  <c r="K103" i="1"/>
  <c r="J103" i="1"/>
  <c r="I103" i="1"/>
  <c r="L101" i="1"/>
  <c r="K101" i="1"/>
  <c r="J101" i="1"/>
  <c r="I101" i="1"/>
  <c r="L96" i="1" l="1"/>
  <c r="K96" i="1"/>
  <c r="J96" i="1"/>
  <c r="I96" i="1"/>
  <c r="L69" i="1"/>
  <c r="K69" i="1"/>
  <c r="J69" i="1"/>
  <c r="I69" i="1"/>
  <c r="L68" i="1" a="1"/>
  <c r="L68" i="1" s="1"/>
  <c r="K68" i="1" a="1"/>
  <c r="K68" i="1" s="1"/>
  <c r="J68" i="1" a="1"/>
  <c r="J68" i="1" s="1"/>
  <c r="I68" i="1" a="1"/>
  <c r="I68" i="1" s="1"/>
  <c r="L93" i="1" l="1"/>
  <c r="K93" i="1"/>
  <c r="J93" i="1"/>
  <c r="I93" i="1"/>
  <c r="L81" i="1"/>
  <c r="K81" i="1"/>
  <c r="J81" i="1"/>
  <c r="I81" i="1"/>
  <c r="L70" i="1"/>
  <c r="K70" i="1"/>
  <c r="J70" i="1"/>
  <c r="I70" i="1"/>
  <c r="L107" i="1" l="1"/>
  <c r="K107" i="1"/>
  <c r="J107" i="1"/>
  <c r="I107" i="1"/>
  <c r="J83" i="1" l="1" a="1"/>
  <c r="J83" i="1" s="1"/>
  <c r="K83" i="1" a="1"/>
  <c r="K83" i="1" s="1"/>
  <c r="L83" i="1" a="1"/>
  <c r="L83" i="1" s="1"/>
  <c r="I84" i="1"/>
  <c r="J84" i="1"/>
  <c r="K84" i="1"/>
  <c r="L84" i="1"/>
  <c r="I85" i="1"/>
  <c r="J85" i="1"/>
  <c r="K85" i="1"/>
  <c r="L85" i="1"/>
  <c r="I86" i="1" a="1"/>
  <c r="I86" i="1" s="1"/>
  <c r="J86" i="1" a="1"/>
  <c r="J86" i="1" s="1"/>
  <c r="K86" i="1" a="1"/>
  <c r="K86" i="1" s="1"/>
  <c r="L86" i="1" a="1"/>
  <c r="L86" i="1" s="1"/>
  <c r="I87" i="1" a="1"/>
  <c r="I87" i="1" s="1"/>
  <c r="J87" i="1" a="1"/>
  <c r="J87" i="1" s="1"/>
  <c r="K87" i="1" a="1"/>
  <c r="K87" i="1" s="1"/>
  <c r="L87" i="1" a="1"/>
  <c r="L87" i="1" s="1"/>
  <c r="I88" i="1"/>
  <c r="J88" i="1"/>
  <c r="K88" i="1"/>
  <c r="L88" i="1"/>
  <c r="I89" i="1"/>
  <c r="J89" i="1"/>
  <c r="K89" i="1"/>
  <c r="L89" i="1"/>
  <c r="I94" i="1" a="1"/>
  <c r="I94" i="1" s="1"/>
  <c r="J94" i="1" a="1"/>
  <c r="J94" i="1" s="1"/>
  <c r="K94" i="1" a="1"/>
  <c r="K94" i="1" s="1"/>
  <c r="L94" i="1" a="1"/>
  <c r="L94" i="1" s="1"/>
  <c r="I95" i="1" a="1"/>
  <c r="I95" i="1" s="1"/>
  <c r="J95" i="1" a="1"/>
  <c r="J95" i="1" s="1"/>
  <c r="K95" i="1" a="1"/>
  <c r="K95" i="1" s="1"/>
  <c r="L95" i="1" a="1"/>
  <c r="L95" i="1" s="1"/>
  <c r="I104" i="1"/>
  <c r="J104" i="1"/>
  <c r="K104" i="1"/>
  <c r="L104" i="1"/>
  <c r="I105" i="1" a="1"/>
  <c r="I105" i="1" s="1"/>
  <c r="J105" i="1" a="1"/>
  <c r="J105" i="1" s="1"/>
  <c r="K105" i="1" a="1"/>
  <c r="K105" i="1" s="1"/>
  <c r="L105" i="1" a="1"/>
  <c r="L105" i="1" s="1"/>
  <c r="L75" i="1" l="1"/>
  <c r="K75" i="1"/>
  <c r="J75" i="1"/>
  <c r="I75" i="1"/>
  <c r="L82" i="1" l="1" a="1"/>
  <c r="L82" i="1" s="1"/>
  <c r="K82" i="1" a="1"/>
  <c r="K82" i="1" s="1"/>
  <c r="J82" i="1" a="1"/>
  <c r="J82" i="1" s="1"/>
  <c r="I82" i="1" a="1"/>
  <c r="I82" i="1" s="1"/>
  <c r="L77" i="1" a="1"/>
  <c r="L77" i="1" s="1"/>
  <c r="K77" i="1" a="1"/>
  <c r="K77" i="1" s="1"/>
  <c r="J77" i="1" a="1"/>
  <c r="J77" i="1" s="1"/>
  <c r="I77" i="1" a="1"/>
  <c r="I77" i="1" s="1"/>
  <c r="I110" i="1" l="1"/>
  <c r="K123" i="1"/>
  <c r="K122" i="1"/>
  <c r="K121" i="1"/>
  <c r="K113" i="1"/>
  <c r="K112" i="1"/>
  <c r="L125" i="1"/>
  <c r="K125" i="1" a="1"/>
  <c r="K125" i="1" s="1"/>
  <c r="J125" i="1" a="1"/>
  <c r="J125" i="1" s="1"/>
  <c r="I125" i="1" a="1"/>
  <c r="I125" i="1" s="1"/>
  <c r="L126" i="1"/>
  <c r="K126" i="1"/>
  <c r="J126" i="1"/>
  <c r="I126" i="1"/>
  <c r="L124" i="1" a="1"/>
  <c r="L124" i="1" s="1"/>
  <c r="K124" i="1" a="1"/>
  <c r="K124" i="1" s="1"/>
  <c r="J124" i="1" a="1"/>
  <c r="J124" i="1" s="1"/>
  <c r="I124" i="1" a="1"/>
  <c r="I124" i="1" s="1"/>
  <c r="L123" i="1" a="1"/>
  <c r="L123" i="1" s="1"/>
  <c r="J123" i="1" a="1"/>
  <c r="J123" i="1" s="1"/>
  <c r="I123" i="1" a="1"/>
  <c r="I123" i="1" s="1"/>
  <c r="L122" i="1" a="1"/>
  <c r="L122" i="1" s="1"/>
  <c r="J122" i="1"/>
  <c r="I122" i="1"/>
  <c r="L121" i="1" a="1"/>
  <c r="L121" i="1" s="1"/>
  <c r="J121" i="1" a="1"/>
  <c r="J121" i="1" s="1"/>
  <c r="I121" i="1" a="1"/>
  <c r="I121" i="1" s="1"/>
  <c r="L120" i="1" a="1"/>
  <c r="L120" i="1" s="1"/>
  <c r="K120" i="1" a="1"/>
  <c r="K120" i="1" s="1"/>
  <c r="J120" i="1" a="1"/>
  <c r="J120" i="1" s="1"/>
  <c r="I120" i="1" a="1"/>
  <c r="I120" i="1" s="1"/>
  <c r="L119" i="1" a="1"/>
  <c r="L119" i="1" s="1"/>
  <c r="K119" i="1" a="1"/>
  <c r="K119" i="1" s="1"/>
  <c r="J119" i="1" a="1"/>
  <c r="J119" i="1" s="1"/>
  <c r="I119" i="1" a="1"/>
  <c r="I119" i="1" s="1"/>
  <c r="L118" i="1" a="1"/>
  <c r="L118" i="1" s="1"/>
  <c r="K118" i="1" a="1"/>
  <c r="K118" i="1" s="1"/>
  <c r="J118" i="1" a="1"/>
  <c r="J118" i="1" s="1"/>
  <c r="I118" i="1" a="1"/>
  <c r="I118" i="1" s="1"/>
  <c r="L117" i="1" a="1"/>
  <c r="L117" i="1" s="1"/>
  <c r="K117" i="1" a="1"/>
  <c r="K117" i="1" s="1"/>
  <c r="J117" i="1" a="1"/>
  <c r="J117" i="1" s="1"/>
  <c r="I117" i="1" a="1"/>
  <c r="I117" i="1" s="1"/>
  <c r="L114" i="1" a="1"/>
  <c r="L114" i="1" s="1"/>
  <c r="K114" i="1" a="1"/>
  <c r="J114" i="1" a="1"/>
  <c r="J114" i="1" s="1"/>
  <c r="I114" i="1" a="1"/>
  <c r="I114" i="1" s="1"/>
  <c r="L113" i="1" a="1"/>
  <c r="L113" i="1" s="1"/>
  <c r="J113" i="1" a="1"/>
  <c r="J113" i="1" s="1"/>
  <c r="I113" i="1" a="1"/>
  <c r="I113" i="1" s="1"/>
  <c r="L112" i="1"/>
  <c r="J112" i="1"/>
  <c r="I112" i="1"/>
  <c r="L130" i="1"/>
  <c r="I130" i="1"/>
  <c r="J110" i="1" l="1"/>
  <c r="J132" i="1" s="1"/>
  <c r="L110" i="1"/>
  <c r="L132" i="1" s="1"/>
  <c r="K110" i="1"/>
  <c r="I132" i="1"/>
  <c r="K130" i="1"/>
  <c r="K114" i="1"/>
  <c r="K128" i="1" s="1"/>
  <c r="J130" i="1"/>
  <c r="L128" i="1"/>
  <c r="J128" i="1"/>
  <c r="I128" i="1"/>
  <c r="K132" i="1" l="1"/>
</calcChain>
</file>

<file path=xl/sharedStrings.xml><?xml version="1.0" encoding="utf-8"?>
<sst xmlns="http://schemas.openxmlformats.org/spreadsheetml/2006/main" count="293" uniqueCount="206">
  <si>
    <t>Chugach National Forest</t>
  </si>
  <si>
    <t>Bid Date</t>
  </si>
  <si>
    <t>Porter Lumber</t>
  </si>
  <si>
    <t>Tongass National Forest</t>
  </si>
  <si>
    <t>Pacific Log &amp; Lumber Ltd</t>
  </si>
  <si>
    <t>Alcan Forest Products LLP</t>
  </si>
  <si>
    <t>Icy Straits Lumber &amp; Mill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</si>
  <si>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</si>
  <si>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</si>
  <si>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</si>
  <si>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</si>
  <si>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</si>
  <si>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</si>
  <si>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</si>
  <si>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</si>
  <si>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</si>
  <si>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</si>
  <si>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 xml:space="preserve">H &amp; L Salvage, Inc </t>
  </si>
  <si>
    <t>James Harrison</t>
  </si>
  <si>
    <t>Viking Lumber Company</t>
  </si>
  <si>
    <t>Buckdance Madder Reoffer</t>
  </si>
  <si>
    <t>Volume Cut (MBF)</t>
  </si>
  <si>
    <t>Current Qty Est (MBF)</t>
  </si>
  <si>
    <t>Skipping Cow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</si>
  <si>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</si>
  <si>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</si>
  <si>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</si>
  <si>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</si>
  <si>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</si>
  <si>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</si>
  <si>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</si>
  <si>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</si>
  <si>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Purchaser</t>
  </si>
  <si>
    <t>Remaining Value ($)</t>
  </si>
  <si>
    <t>Hook Reoffer</t>
  </si>
  <si>
    <t>Oxbox</t>
  </si>
  <si>
    <t>Hecla Greens Creek Mining</t>
  </si>
  <si>
    <t>DOT/PF State of Alaska</t>
  </si>
  <si>
    <t>002562</t>
  </si>
  <si>
    <t>Henry Drechnowicz</t>
  </si>
  <si>
    <t>St. Nick Forest Products</t>
  </si>
  <si>
    <t>Slake</t>
  </si>
  <si>
    <t>Frenchie Stewardship</t>
  </si>
  <si>
    <t>Jerod Cook</t>
  </si>
  <si>
    <t>062649</t>
  </si>
  <si>
    <t>061047</t>
  </si>
  <si>
    <t>061146</t>
  </si>
  <si>
    <t>061906</t>
  </si>
  <si>
    <t>061914</t>
  </si>
  <si>
    <t>062433</t>
  </si>
  <si>
    <t>062805</t>
  </si>
  <si>
    <t>Ralph Dean Blankenship</t>
  </si>
  <si>
    <t>TM Construction, Inc
TM Construction, Inc</t>
  </si>
  <si>
    <t>Daniel Fanning</t>
  </si>
  <si>
    <t>Gordon W Chew</t>
  </si>
  <si>
    <t>Scott Hill</t>
  </si>
  <si>
    <t>Zarkof Salvage</t>
  </si>
  <si>
    <t>063100</t>
  </si>
  <si>
    <t>City &amp; Borough of Sitka</t>
  </si>
  <si>
    <t>Blue Lake Hydro Settlement</t>
  </si>
  <si>
    <t>063167</t>
  </si>
  <si>
    <t>Jerry Baker</t>
  </si>
  <si>
    <t>Turnagain Quarry Settlement</t>
  </si>
  <si>
    <t>December Point Reoffer</t>
  </si>
  <si>
    <t>063472</t>
  </si>
  <si>
    <t>063423</t>
  </si>
  <si>
    <t>Big Thorne Stewardship</t>
  </si>
  <si>
    <t>Greens Creek Tailing</t>
  </si>
  <si>
    <t>063662</t>
  </si>
  <si>
    <t>North Chatham</t>
  </si>
  <si>
    <t>Last Stand</t>
  </si>
  <si>
    <t>063712</t>
  </si>
  <si>
    <t>063688</t>
  </si>
  <si>
    <t>063720</t>
  </si>
  <si>
    <t>Highway 43 Salvage</t>
  </si>
  <si>
    <t>William C Musser</t>
  </si>
  <si>
    <t>Amalgamated Minerals Int Inc</t>
  </si>
  <si>
    <t>Good Faith Lumber LLC</t>
  </si>
  <si>
    <t>Micheal B Allen Jr</t>
  </si>
  <si>
    <t>Alaska Musicwood Industries</t>
  </si>
  <si>
    <t>6T</t>
  </si>
  <si>
    <t>K &amp; D Lumber</t>
  </si>
  <si>
    <t>Buck Rush Reoffer</t>
  </si>
  <si>
    <t>064462</t>
  </si>
  <si>
    <t>Alcan Timber Inc</t>
  </si>
  <si>
    <t>Big Buck</t>
  </si>
  <si>
    <t>Sand Pit #2 Settlement</t>
  </si>
  <si>
    <t>Camel Back</t>
  </si>
  <si>
    <t>064520</t>
  </si>
  <si>
    <t>064546</t>
  </si>
  <si>
    <t>T.L.C. Management, LLC</t>
  </si>
  <si>
    <t>Tightline</t>
  </si>
  <si>
    <t>064579</t>
  </si>
  <si>
    <t>064561</t>
  </si>
  <si>
    <t>Pump Creek</t>
  </si>
  <si>
    <t>064611</t>
  </si>
  <si>
    <t>Thayer Lake Settlement</t>
  </si>
  <si>
    <t>Kootznoowoo Incorporated</t>
  </si>
  <si>
    <t>064629</t>
  </si>
  <si>
    <t>3T</t>
  </si>
  <si>
    <t>David Lapeyrouse</t>
  </si>
  <si>
    <t>Alaska Region Check</t>
  </si>
  <si>
    <t>Purchaser Check</t>
  </si>
  <si>
    <t>Western Gold Cedar Products</t>
  </si>
  <si>
    <t>Billy Goat</t>
  </si>
  <si>
    <t>064694</t>
  </si>
  <si>
    <t>Purchaser Summary</t>
  </si>
  <si>
    <t>Alaska Tonewood LLC</t>
  </si>
  <si>
    <t>Glacier - 10</t>
  </si>
  <si>
    <t>Cordova - 20</t>
  </si>
  <si>
    <t>Seward - 30</t>
  </si>
  <si>
    <t>Petersburg - 21</t>
  </si>
  <si>
    <t>Wrangell - 22</t>
  </si>
  <si>
    <t>Sitka - 31</t>
  </si>
  <si>
    <t>Hoonah - 32</t>
  </si>
  <si>
    <t>Juneau - 33</t>
  </si>
  <si>
    <t>Admirality - 34</t>
  </si>
  <si>
    <t>Yakutat - 35</t>
  </si>
  <si>
    <t>Craig - 51</t>
  </si>
  <si>
    <t>Ketchikan - 52</t>
  </si>
  <si>
    <t>Thorne Bay - 54</t>
  </si>
  <si>
    <t>Tongass National Forest Sales</t>
  </si>
  <si>
    <t>Chugach National Forest Sales</t>
  </si>
  <si>
    <t>Alaska Region Summary</t>
  </si>
  <si>
    <t>Fan</t>
  </si>
  <si>
    <t>064827</t>
  </si>
  <si>
    <t>064835</t>
  </si>
  <si>
    <t>064793</t>
  </si>
  <si>
    <t>064751</t>
  </si>
  <si>
    <t>064744</t>
  </si>
  <si>
    <t>064819</t>
  </si>
  <si>
    <t>Austin Chapman</t>
  </si>
  <si>
    <t>Bay Area Inc.</t>
  </si>
  <si>
    <t>David A. Moyer</t>
  </si>
  <si>
    <t>Rusty Reoffer</t>
  </si>
  <si>
    <t>Cornerstone Excavation Serv LLC</t>
  </si>
  <si>
    <t>Boom Chain</t>
  </si>
  <si>
    <t>CAB</t>
  </si>
  <si>
    <t>Luther J. Coby</t>
  </si>
  <si>
    <t>Three Sisters</t>
  </si>
  <si>
    <t>Swan Lake 2 Settlement</t>
  </si>
  <si>
    <t>Southeast Alaska Power Agency</t>
  </si>
  <si>
    <t>064843</t>
  </si>
  <si>
    <t>064892</t>
  </si>
  <si>
    <t>064876</t>
  </si>
  <si>
    <t>064850</t>
  </si>
  <si>
    <t>064900</t>
  </si>
  <si>
    <t>064868</t>
  </si>
  <si>
    <t>Safari Microsale Reoffer</t>
  </si>
  <si>
    <t>064926</t>
  </si>
  <si>
    <t>Contract ID</t>
  </si>
  <si>
    <t>Contract Form</t>
  </si>
  <si>
    <t>Ranger Districts</t>
  </si>
  <si>
    <t>Ranger District Check</t>
  </si>
  <si>
    <t>Ranger District</t>
  </si>
  <si>
    <t>RayRay</t>
  </si>
  <si>
    <t>Ears Stewardship</t>
  </si>
  <si>
    <t>Satyr</t>
  </si>
  <si>
    <t>Tongass NF Sales Count:</t>
  </si>
  <si>
    <t>Tongass NF Sales Count With Remaining Volume:</t>
  </si>
  <si>
    <t>Chugach NF Sales Count:</t>
  </si>
  <si>
    <t>Chugach NF Sales Count With Remaining  Volume:</t>
  </si>
  <si>
    <t>Region 10 Sales Count With Remaining  Volume:</t>
  </si>
  <si>
    <t>Region 10 Sales Count:</t>
  </si>
  <si>
    <t>002729</t>
  </si>
  <si>
    <t>Andrews and Sons LLC</t>
  </si>
  <si>
    <t>064934</t>
  </si>
  <si>
    <t>064959</t>
  </si>
  <si>
    <t>064942</t>
  </si>
  <si>
    <t>Ronald S Wensel</t>
  </si>
  <si>
    <t>Mud Duck</t>
  </si>
  <si>
    <t>Snakey</t>
  </si>
  <si>
    <t>064967</t>
  </si>
  <si>
    <t>064991</t>
  </si>
  <si>
    <t>064983</t>
  </si>
  <si>
    <t>064975</t>
  </si>
  <si>
    <t>065006</t>
  </si>
  <si>
    <t>Spencer F Pitcher</t>
  </si>
  <si>
    <t>State of Alaska</t>
  </si>
  <si>
    <t>GNA Kosciusko Young Growth</t>
  </si>
  <si>
    <t>065030</t>
  </si>
  <si>
    <t>065022</t>
  </si>
  <si>
    <t>065014</t>
  </si>
  <si>
    <t>Brent Cole</t>
  </si>
  <si>
    <t>Upper Cathedral</t>
  </si>
  <si>
    <t>065048</t>
  </si>
  <si>
    <t>063639</t>
  </si>
  <si>
    <t>U.S. Forest Service, Alaska Region, Remaining Timber Sales Volumes and Values on December 31, 2017</t>
  </si>
  <si>
    <t>Microsale 231</t>
  </si>
  <si>
    <t>Microsale 245</t>
  </si>
  <si>
    <t>002737</t>
  </si>
  <si>
    <t>Spur Comm FW Resale</t>
  </si>
  <si>
    <t>002745</t>
  </si>
  <si>
    <t>Rabbit Comm Fuelwood</t>
  </si>
  <si>
    <t>Guardrail Comm Fuelwood</t>
  </si>
  <si>
    <t>Microsale 251</t>
  </si>
  <si>
    <t>Microsale 249</t>
  </si>
  <si>
    <t>Microsale 240</t>
  </si>
  <si>
    <t>Microsale 248</t>
  </si>
  <si>
    <t>Microsale 233</t>
  </si>
  <si>
    <t>Microsale 244</t>
  </si>
  <si>
    <t>Microsale 242</t>
  </si>
  <si>
    <t>Microsale 236</t>
  </si>
  <si>
    <t>Microsale 235</t>
  </si>
  <si>
    <t>Microsale 234</t>
  </si>
  <si>
    <t>Microsale 252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</si>
</sst>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.00"/>
    <numFmt numFmtId="165" formatCode="m/d/yyyy;@"/>
  </numFmts>
  <fonts count="7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617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2" applyNumberFormat="0" applyAlignment="0" applyProtection="0"/>
    <xf numFmtId="0" fontId="41" fillId="28" borderId="3" applyNumberFormat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30" borderId="2" applyNumberFormat="0" applyAlignment="0" applyProtection="0"/>
    <xf numFmtId="0" fontId="48" fillId="0" borderId="7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50" fillId="27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0" borderId="0" applyNumberFormat="0" applyFill="0" applyBorder="0" applyAlignment="0" applyProtection="0"/>
    <xf numFmtId="0" fontId="34" fillId="0" borderId="0"/>
    <xf numFmtId="0" fontId="34" fillId="32" borderId="8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60" fillId="26" borderId="0" applyNumberFormat="0" applyBorder="0" applyAlignment="0" applyProtection="0"/>
    <xf numFmtId="0" fontId="61" fillId="31" borderId="0" applyNumberFormat="0" applyBorder="0" applyAlignment="0" applyProtection="0"/>
    <xf numFmtId="0" fontId="62" fillId="30" borderId="2" applyNumberFormat="0" applyAlignment="0" applyProtection="0"/>
    <xf numFmtId="0" fontId="63" fillId="27" borderId="9" applyNumberFormat="0" applyAlignment="0" applyProtection="0"/>
    <xf numFmtId="0" fontId="64" fillId="27" borderId="2" applyNumberFormat="0" applyAlignment="0" applyProtection="0"/>
    <xf numFmtId="0" fontId="65" fillId="0" borderId="7" applyNumberFormat="0" applyFill="0" applyAlignment="0" applyProtection="0"/>
    <xf numFmtId="0" fontId="66" fillId="28" borderId="3" applyNumberFormat="0" applyAlignment="0" applyProtection="0"/>
    <xf numFmtId="0" fontId="67" fillId="0" borderId="0" applyNumberFormat="0" applyFill="0" applyBorder="0" applyAlignment="0" applyProtection="0"/>
    <xf numFmtId="0" fontId="24" fillId="32" borderId="8" applyNumberFormat="0" applyFont="0" applyAlignment="0" applyProtection="0"/>
    <xf numFmtId="0" fontId="6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0" fillId="20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70" fillId="14" borderId="0" applyNumberFormat="0" applyBorder="0" applyAlignment="0" applyProtection="0"/>
    <xf numFmtId="0" fontId="70" fillId="21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70" fillId="15" borderId="0" applyNumberFormat="0" applyBorder="0" applyAlignment="0" applyProtection="0"/>
    <xf numFmtId="0" fontId="70" fillId="22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23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70" fillId="17" borderId="0" applyNumberFormat="0" applyBorder="0" applyAlignment="0" applyProtection="0"/>
    <xf numFmtId="0" fontId="70" fillId="24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70" fillId="18" borderId="0" applyNumberFormat="0" applyBorder="0" applyAlignment="0" applyProtection="0"/>
    <xf numFmtId="0" fontId="70" fillId="25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70" fillId="19" borderId="0" applyNumberFormat="0" applyBorder="0" applyAlignment="0" applyProtection="0"/>
    <xf numFmtId="0" fontId="23" fillId="0" borderId="0"/>
    <xf numFmtId="0" fontId="23" fillId="32" borderId="8" applyNumberFormat="0" applyFont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106">
    <xf numFmtId="0" fontId="0" fillId="0" borderId="0" xfId="0"/>
    <xf numFmtId="0" fontId="35" fillId="0" borderId="0" xfId="0" applyFont="1" applyBorder="1"/>
    <xf numFmtId="1" fontId="35" fillId="0" borderId="0" xfId="0" applyNumberFormat="1" applyFont="1" applyBorder="1" applyAlignment="1">
      <alignment horizontal="center"/>
    </xf>
    <xf numFmtId="165" fontId="35" fillId="0" borderId="0" xfId="0" applyNumberFormat="1" applyFont="1" applyBorder="1" applyAlignment="1">
      <alignment horizontal="center"/>
    </xf>
    <xf numFmtId="0" fontId="36" fillId="0" borderId="0" xfId="0" applyFont="1" applyBorder="1"/>
    <xf numFmtId="0" fontId="35" fillId="0" borderId="0" xfId="0" applyFont="1" applyBorder="1" applyAlignment="1">
      <alignment horizontal="center"/>
    </xf>
    <xf numFmtId="0" fontId="35" fillId="0" borderId="1" xfId="0" applyFont="1" applyBorder="1" applyAlignment="1">
      <alignment horizontal="center" wrapText="1"/>
    </xf>
    <xf numFmtId="1" fontId="35" fillId="0" borderId="1" xfId="0" applyNumberFormat="1" applyFont="1" applyBorder="1" applyAlignment="1">
      <alignment horizontal="center" wrapText="1"/>
    </xf>
    <xf numFmtId="165" fontId="35" fillId="0" borderId="1" xfId="0" applyNumberFormat="1" applyFont="1" applyBorder="1" applyAlignment="1">
      <alignment horizontal="center" wrapText="1"/>
    </xf>
    <xf numFmtId="0" fontId="35" fillId="0" borderId="1" xfId="0" applyFont="1" applyBorder="1"/>
    <xf numFmtId="0" fontId="35" fillId="0" borderId="0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wrapText="1"/>
    </xf>
    <xf numFmtId="1" fontId="35" fillId="0" borderId="0" xfId="0" applyNumberFormat="1" applyFont="1" applyBorder="1" applyAlignment="1">
      <alignment horizontal="center" wrapText="1"/>
    </xf>
    <xf numFmtId="4" fontId="35" fillId="0" borderId="1" xfId="0" applyNumberFormat="1" applyFont="1" applyBorder="1" applyAlignment="1">
      <alignment horizontal="center" wrapText="1"/>
    </xf>
    <xf numFmtId="4" fontId="35" fillId="0" borderId="0" xfId="0" applyNumberFormat="1" applyFont="1" applyBorder="1" applyAlignment="1">
      <alignment horizontal="right"/>
    </xf>
    <xf numFmtId="0" fontId="35" fillId="0" borderId="0" xfId="0" applyFont="1" applyAlignment="1">
      <alignment horizontal="right"/>
    </xf>
    <xf numFmtId="49" fontId="35" fillId="0" borderId="0" xfId="0" applyNumberFormat="1" applyFont="1" applyBorder="1" applyAlignment="1">
      <alignment horizontal="center" vertical="center" wrapText="1"/>
    </xf>
    <xf numFmtId="0" fontId="35" fillId="0" borderId="0" xfId="0" applyFont="1" applyBorder="1" applyAlignment="1"/>
    <xf numFmtId="49" fontId="35" fillId="0" borderId="0" xfId="0" applyNumberFormat="1" applyFont="1" applyBorder="1" applyAlignment="1">
      <alignment horizontal="center" vertical="center"/>
    </xf>
    <xf numFmtId="0" fontId="35" fillId="0" borderId="0" xfId="0" applyFont="1" applyBorder="1" applyAlignment="1">
      <alignment horizontal="right" vertical="center"/>
    </xf>
    <xf numFmtId="0" fontId="35" fillId="0" borderId="0" xfId="0" applyFont="1" applyBorder="1" applyAlignment="1">
      <alignment vertical="center"/>
    </xf>
    <xf numFmtId="0" fontId="54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0" fontId="35" fillId="0" borderId="0" xfId="0" applyFont="1" applyBorder="1" applyAlignment="1">
      <alignment vertical="center" wrapText="1"/>
    </xf>
    <xf numFmtId="0" fontId="55" fillId="0" borderId="0" xfId="0" applyFont="1" applyAlignment="1">
      <alignment vertical="center"/>
    </xf>
    <xf numFmtId="0" fontId="54" fillId="0" borderId="0" xfId="37" applyFont="1" applyAlignment="1">
      <alignment horizontal="center" vertical="center"/>
    </xf>
    <xf numFmtId="49" fontId="54" fillId="0" borderId="0" xfId="37" applyNumberFormat="1" applyFont="1" applyAlignment="1">
      <alignment horizontal="center" vertical="center"/>
    </xf>
    <xf numFmtId="14" fontId="54" fillId="0" borderId="0" xfId="0" applyNumberFormat="1" applyFont="1" applyAlignment="1">
      <alignment horizontal="center" vertical="center"/>
    </xf>
    <xf numFmtId="164" fontId="54" fillId="0" borderId="0" xfId="0" applyNumberFormat="1" applyFont="1" applyAlignment="1">
      <alignment vertical="center"/>
    </xf>
    <xf numFmtId="1" fontId="35" fillId="0" borderId="0" xfId="0" applyNumberFormat="1" applyFont="1" applyBorder="1" applyAlignment="1">
      <alignment horizontal="left" vertical="center"/>
    </xf>
    <xf numFmtId="4" fontId="54" fillId="0" borderId="0" xfId="0" applyNumberFormat="1" applyFont="1" applyAlignment="1">
      <alignment vertical="center"/>
    </xf>
    <xf numFmtId="0" fontId="36" fillId="0" borderId="0" xfId="0" applyFont="1" applyBorder="1" applyAlignment="1">
      <alignment vertical="center"/>
    </xf>
    <xf numFmtId="0" fontId="54" fillId="0" borderId="0" xfId="406" applyFont="1" applyAlignment="1">
      <alignment horizontal="center" vertical="center"/>
    </xf>
    <xf numFmtId="49" fontId="54" fillId="0" borderId="0" xfId="406" applyNumberFormat="1" applyFont="1" applyAlignment="1">
      <alignment horizontal="center" vertical="center"/>
    </xf>
    <xf numFmtId="14" fontId="54" fillId="0" borderId="0" xfId="406" applyNumberFormat="1" applyFont="1" applyAlignment="1">
      <alignment horizontal="center" vertical="center"/>
    </xf>
    <xf numFmtId="0" fontId="54" fillId="0" borderId="0" xfId="392" applyFont="1" applyAlignment="1">
      <alignment vertical="center"/>
    </xf>
    <xf numFmtId="4" fontId="54" fillId="0" borderId="0" xfId="406" applyNumberFormat="1" applyFont="1" applyAlignment="1">
      <alignment vertical="center"/>
    </xf>
    <xf numFmtId="164" fontId="54" fillId="0" borderId="0" xfId="406" applyNumberFormat="1" applyFont="1" applyAlignment="1">
      <alignment vertical="center"/>
    </xf>
    <xf numFmtId="0" fontId="54" fillId="0" borderId="0" xfId="169" applyFont="1" applyAlignment="1">
      <alignment horizontal="center" vertical="center"/>
    </xf>
    <xf numFmtId="49" fontId="54" fillId="0" borderId="0" xfId="169" applyNumberFormat="1" applyFont="1" applyAlignment="1">
      <alignment horizontal="center" vertical="center"/>
    </xf>
    <xf numFmtId="14" fontId="54" fillId="0" borderId="0" xfId="169" applyNumberFormat="1" applyFont="1" applyAlignment="1">
      <alignment horizontal="center" vertical="center"/>
    </xf>
    <xf numFmtId="0" fontId="54" fillId="0" borderId="0" xfId="169" applyFont="1" applyAlignment="1">
      <alignment vertical="center"/>
    </xf>
    <xf numFmtId="4" fontId="54" fillId="0" borderId="0" xfId="169" applyNumberFormat="1" applyFont="1" applyAlignment="1">
      <alignment vertical="center"/>
    </xf>
    <xf numFmtId="164" fontId="54" fillId="0" borderId="0" xfId="169" applyNumberFormat="1" applyFont="1" applyAlignment="1">
      <alignment vertical="center"/>
    </xf>
    <xf numFmtId="165" fontId="35" fillId="0" borderId="0" xfId="0" applyNumberFormat="1" applyFont="1" applyBorder="1" applyAlignment="1">
      <alignment horizontal="center" vertical="center"/>
    </xf>
    <xf numFmtId="4" fontId="35" fillId="0" borderId="0" xfId="0" applyNumberFormat="1" applyFont="1" applyFill="1" applyBorder="1" applyAlignment="1">
      <alignment horizontal="right" vertical="center"/>
    </xf>
    <xf numFmtId="164" fontId="35" fillId="0" borderId="0" xfId="0" applyNumberFormat="1" applyFont="1" applyFill="1" applyBorder="1" applyAlignment="1">
      <alignment horizontal="right" vertical="center"/>
    </xf>
    <xf numFmtId="0" fontId="35" fillId="0" borderId="0" xfId="0" applyFont="1" applyAlignment="1">
      <alignment vertical="center" wrapText="1"/>
    </xf>
    <xf numFmtId="0" fontId="54" fillId="0" borderId="0" xfId="0" applyFont="1"/>
    <xf numFmtId="0" fontId="54" fillId="0" borderId="0" xfId="560" applyFont="1"/>
    <xf numFmtId="0" fontId="54" fillId="0" borderId="0" xfId="0" applyFont="1" applyAlignment="1">
      <alignment horizontal="center"/>
    </xf>
    <xf numFmtId="49" fontId="54" fillId="0" borderId="0" xfId="0" applyNumberFormat="1" applyFont="1" applyAlignment="1">
      <alignment horizontal="center"/>
    </xf>
    <xf numFmtId="14" fontId="54" fillId="0" borderId="0" xfId="0" applyNumberFormat="1" applyFont="1" applyAlignment="1">
      <alignment horizontal="center"/>
    </xf>
    <xf numFmtId="4" fontId="54" fillId="0" borderId="0" xfId="0" applyNumberFormat="1" applyFont="1"/>
    <xf numFmtId="164" fontId="54" fillId="0" borderId="0" xfId="0" applyNumberFormat="1" applyFont="1"/>
    <xf numFmtId="4" fontId="35" fillId="0" borderId="0" xfId="0" applyNumberFormat="1" applyFont="1" applyBorder="1" applyAlignment="1">
      <alignment horizontal="center" wrapText="1"/>
    </xf>
    <xf numFmtId="0" fontId="54" fillId="0" borderId="0" xfId="588" applyFont="1" applyAlignment="1">
      <alignment vertical="center"/>
    </xf>
    <xf numFmtId="0" fontId="54" fillId="0" borderId="0" xfId="588" applyNumberFormat="1" applyFont="1" applyAlignment="1">
      <alignment horizontal="left" wrapText="1"/>
    </xf>
    <xf numFmtId="1" fontId="35" fillId="0" borderId="0" xfId="0" applyNumberFormat="1" applyFont="1" applyBorder="1" applyAlignment="1">
      <alignment horizontal="center" vertical="center"/>
    </xf>
    <xf numFmtId="0" fontId="35" fillId="0" borderId="0" xfId="0" applyFont="1" applyBorder="1" applyAlignment="1">
      <alignment horizontal="left" vertical="center"/>
    </xf>
    <xf numFmtId="4" fontId="35" fillId="0" borderId="11" xfId="0" applyNumberFormat="1" applyFont="1" applyFill="1" applyBorder="1" applyAlignment="1">
      <alignment horizontal="right" vertical="center"/>
    </xf>
    <xf numFmtId="164" fontId="35" fillId="0" borderId="11" xfId="0" applyNumberFormat="1" applyFont="1" applyFill="1" applyBorder="1" applyAlignment="1">
      <alignment horizontal="right" vertical="center"/>
    </xf>
    <xf numFmtId="0" fontId="35" fillId="0" borderId="0" xfId="0" applyFont="1" applyFill="1" applyBorder="1" applyAlignment="1">
      <alignment vertical="center"/>
    </xf>
    <xf numFmtId="165" fontId="35" fillId="0" borderId="0" xfId="0" applyNumberFormat="1" applyFont="1" applyFill="1" applyBorder="1" applyAlignment="1">
      <alignment horizontal="center" vertical="center"/>
    </xf>
    <xf numFmtId="0" fontId="35" fillId="0" borderId="0" xfId="0" applyFont="1" applyFill="1" applyBorder="1"/>
    <xf numFmtId="0" fontId="35" fillId="0" borderId="0" xfId="0" applyFont="1" applyFill="1" applyBorder="1" applyAlignment="1">
      <alignment horizontal="left"/>
    </xf>
    <xf numFmtId="1" fontId="35" fillId="0" borderId="0" xfId="0" applyNumberFormat="1" applyFont="1" applyFill="1" applyBorder="1" applyAlignment="1">
      <alignment horizontal="left" vertical="center"/>
    </xf>
    <xf numFmtId="1" fontId="35" fillId="0" borderId="11" xfId="0" applyNumberFormat="1" applyFont="1" applyFill="1" applyBorder="1" applyAlignment="1">
      <alignment horizontal="left" vertical="center"/>
    </xf>
    <xf numFmtId="0" fontId="35" fillId="0" borderId="11" xfId="0" applyFont="1" applyFill="1" applyBorder="1" applyAlignment="1">
      <alignment horizontal="left"/>
    </xf>
    <xf numFmtId="0" fontId="35" fillId="0" borderId="0" xfId="0" applyFont="1" applyFill="1" applyAlignment="1">
      <alignment horizontal="left" vertical="center"/>
    </xf>
    <xf numFmtId="0" fontId="35" fillId="0" borderId="0" xfId="0" applyFont="1" applyFill="1" applyAlignment="1">
      <alignment horizontal="center" vertical="center"/>
    </xf>
    <xf numFmtId="0" fontId="35" fillId="0" borderId="0" xfId="0" applyFont="1" applyFill="1" applyAlignment="1">
      <alignment horizontal="right" vertical="center"/>
    </xf>
    <xf numFmtId="1" fontId="35" fillId="0" borderId="0" xfId="0" applyNumberFormat="1" applyFont="1" applyFill="1" applyBorder="1" applyAlignment="1">
      <alignment horizontal="center" vertical="center"/>
    </xf>
    <xf numFmtId="1" fontId="35" fillId="0" borderId="0" xfId="0" applyNumberFormat="1" applyFont="1" applyFill="1" applyAlignment="1">
      <alignment horizontal="left" vertical="center"/>
    </xf>
    <xf numFmtId="1" fontId="35" fillId="0" borderId="0" xfId="0" applyNumberFormat="1" applyFont="1" applyFill="1" applyAlignment="1">
      <alignment horizontal="center" vertical="center"/>
    </xf>
    <xf numFmtId="4" fontId="35" fillId="0" borderId="0" xfId="0" applyNumberFormat="1" applyFont="1" applyFill="1" applyBorder="1" applyAlignment="1">
      <alignment horizontal="center" vertical="center"/>
    </xf>
    <xf numFmtId="164" fontId="35" fillId="0" borderId="0" xfId="0" applyNumberFormat="1" applyFont="1" applyFill="1" applyBorder="1" applyAlignment="1">
      <alignment horizontal="center" vertical="center"/>
    </xf>
    <xf numFmtId="3" fontId="35" fillId="0" borderId="0" xfId="0" applyNumberFormat="1" applyFont="1" applyFill="1" applyBorder="1" applyAlignment="1">
      <alignment horizontal="left" vertical="center"/>
    </xf>
    <xf numFmtId="165" fontId="35" fillId="0" borderId="0" xfId="0" applyNumberFormat="1" applyFont="1" applyFill="1" applyBorder="1" applyAlignment="1">
      <alignment horizontal="center"/>
    </xf>
    <xf numFmtId="4" fontId="35" fillId="0" borderId="0" xfId="0" applyNumberFormat="1" applyFont="1" applyFill="1" applyBorder="1" applyAlignment="1">
      <alignment horizontal="right"/>
    </xf>
    <xf numFmtId="164" fontId="35" fillId="0" borderId="0" xfId="0" applyNumberFormat="1" applyFont="1" applyFill="1" applyBorder="1" applyAlignment="1">
      <alignment horizontal="right"/>
    </xf>
    <xf numFmtId="165" fontId="35" fillId="0" borderId="11" xfId="0" applyNumberFormat="1" applyFont="1" applyFill="1" applyBorder="1" applyAlignment="1">
      <alignment horizontal="center" wrapText="1"/>
    </xf>
    <xf numFmtId="165" fontId="35" fillId="0" borderId="11" xfId="0" applyNumberFormat="1" applyFont="1" applyBorder="1" applyAlignment="1">
      <alignment horizontal="center" vertical="center"/>
    </xf>
    <xf numFmtId="4" fontId="54" fillId="0" borderId="0" xfId="0" applyNumberFormat="1" applyFont="1" applyBorder="1"/>
    <xf numFmtId="164" fontId="54" fillId="0" borderId="0" xfId="0" applyNumberFormat="1" applyFont="1" applyBorder="1"/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/>
    </xf>
    <xf numFmtId="49" fontId="35" fillId="0" borderId="0" xfId="0" applyNumberFormat="1" applyFont="1" applyAlignment="1">
      <alignment horizontal="center"/>
    </xf>
    <xf numFmtId="14" fontId="35" fillId="0" borderId="0" xfId="0" applyNumberFormat="1" applyFont="1" applyAlignment="1">
      <alignment horizontal="center"/>
    </xf>
    <xf numFmtId="4" fontId="35" fillId="0" borderId="0" xfId="0" applyNumberFormat="1" applyFont="1"/>
    <xf numFmtId="164" fontId="35" fillId="0" borderId="0" xfId="0" applyNumberFormat="1" applyFont="1"/>
    <xf numFmtId="0" fontId="35" fillId="0" borderId="1" xfId="0" applyFont="1" applyFill="1" applyBorder="1" applyAlignment="1">
      <alignment horizontal="left"/>
    </xf>
    <xf numFmtId="0" fontId="35" fillId="0" borderId="0" xfId="0" applyFont="1" applyFill="1" applyBorder="1" applyAlignment="1"/>
    <xf numFmtId="0" fontId="54" fillId="0" borderId="0" xfId="0" applyFont="1" applyFill="1"/>
    <xf numFmtId="0" fontId="54" fillId="0" borderId="0" xfId="155" applyFont="1" applyFill="1" applyAlignment="1">
      <alignment vertical="center"/>
    </xf>
    <xf numFmtId="0" fontId="54" fillId="0" borderId="0" xfId="0" applyFont="1" applyFill="1" applyAlignment="1">
      <alignment vertical="center"/>
    </xf>
    <xf numFmtId="0" fontId="35" fillId="0" borderId="0" xfId="0" applyFont="1" applyFill="1" applyAlignment="1">
      <alignment vertical="center"/>
    </xf>
    <xf numFmtId="0" fontId="54" fillId="0" borderId="0" xfId="39" applyFont="1" applyFill="1" applyAlignment="1">
      <alignment vertical="center"/>
    </xf>
    <xf numFmtId="0" fontId="54" fillId="0" borderId="0" xfId="183" applyFont="1" applyFill="1" applyAlignment="1">
      <alignment vertical="center"/>
    </xf>
    <xf numFmtId="0" fontId="54" fillId="0" borderId="0" xfId="560" applyFont="1" applyFill="1"/>
    <xf numFmtId="0" fontId="55" fillId="0" borderId="0" xfId="0" applyFont="1" applyFill="1" applyAlignment="1">
      <alignment vertical="center"/>
    </xf>
    <xf numFmtId="0" fontId="54" fillId="0" borderId="0" xfId="588" applyFont="1" applyFill="1"/>
    <xf numFmtId="4" fontId="54" fillId="0" borderId="0" xfId="518" applyNumberFormat="1" applyFont="1" applyFill="1" applyAlignment="1">
      <alignment vertical="center"/>
    </xf>
    <xf numFmtId="0" fontId="54" fillId="0" borderId="0" xfId="392" applyFont="1" applyFill="1" applyAlignment="1">
      <alignment vertical="center"/>
    </xf>
    <xf numFmtId="0" fontId="54" fillId="0" borderId="0" xfId="169" applyFont="1" applyFill="1" applyAlignment="1">
      <alignment vertical="center"/>
    </xf>
    <xf numFmtId="0" fontId="35" fillId="0" borderId="0" xfId="0" applyFont="1" applyFill="1" applyAlignment="1"/>
  </cellXfs>
  <cellStyles count="617">
    <cellStyle name="20% - Accent1" xfId="1" builtinId="30" customBuiltin="1"/>
    <cellStyle name="20% - Accent1 10" xfId="227"/>
    <cellStyle name="20% - Accent1 11" xfId="241"/>
    <cellStyle name="20% - Accent1 12" xfId="271"/>
    <cellStyle name="20% - Accent1 13" xfId="296"/>
    <cellStyle name="20% - Accent1 14" xfId="310"/>
    <cellStyle name="20% - Accent1 15" xfId="324"/>
    <cellStyle name="20% - Accent1 16" xfId="338"/>
    <cellStyle name="20% - Accent1 17" xfId="352"/>
    <cellStyle name="20% - Accent1 18" xfId="366"/>
    <cellStyle name="20% - Accent1 19" xfId="380"/>
    <cellStyle name="20% - Accent1 2" xfId="115"/>
    <cellStyle name="20% - Accent1 20" xfId="394"/>
    <cellStyle name="20% - Accent1 21" xfId="408"/>
    <cellStyle name="20% - Accent1 22" xfId="422"/>
    <cellStyle name="20% - Accent1 23" xfId="436"/>
    <cellStyle name="20% - Accent1 24" xfId="450"/>
    <cellStyle name="20% - Accent1 25" xfId="464"/>
    <cellStyle name="20% - Accent1 26" xfId="478"/>
    <cellStyle name="20% - Accent1 27" xfId="492"/>
    <cellStyle name="20% - Accent1 28" xfId="506"/>
    <cellStyle name="20% - Accent1 29" xfId="520"/>
    <cellStyle name="20% - Accent1 3" xfId="129"/>
    <cellStyle name="20% - Accent1 30" xfId="534"/>
    <cellStyle name="20% - Accent1 31" xfId="548"/>
    <cellStyle name="20% - Accent1 32" xfId="562"/>
    <cellStyle name="20% - Accent1 33" xfId="576"/>
    <cellStyle name="20% - Accent1 34" xfId="590"/>
    <cellStyle name="20% - Accent1 35" xfId="605"/>
    <cellStyle name="20% - Accent1 4" xfId="143"/>
    <cellStyle name="20% - Accent1 5" xfId="157"/>
    <cellStyle name="20% - Accent1 6" xfId="171"/>
    <cellStyle name="20% - Accent1 7" xfId="185"/>
    <cellStyle name="20% - Accent1 8" xfId="199"/>
    <cellStyle name="20% - Accent1 9" xfId="213"/>
    <cellStyle name="20% - Accent2" xfId="2" builtinId="34" customBuiltin="1"/>
    <cellStyle name="20% - Accent2 10" xfId="229"/>
    <cellStyle name="20% - Accent2 11" xfId="243"/>
    <cellStyle name="20% - Accent2 12" xfId="275"/>
    <cellStyle name="20% - Accent2 13" xfId="298"/>
    <cellStyle name="20% - Accent2 14" xfId="312"/>
    <cellStyle name="20% - Accent2 15" xfId="326"/>
    <cellStyle name="20% - Accent2 16" xfId="340"/>
    <cellStyle name="20% - Accent2 17" xfId="354"/>
    <cellStyle name="20% - Accent2 18" xfId="368"/>
    <cellStyle name="20% - Accent2 19" xfId="382"/>
    <cellStyle name="20% - Accent2 2" xfId="117"/>
    <cellStyle name="20% - Accent2 20" xfId="396"/>
    <cellStyle name="20% - Accent2 21" xfId="410"/>
    <cellStyle name="20% - Accent2 22" xfId="424"/>
    <cellStyle name="20% - Accent2 23" xfId="438"/>
    <cellStyle name="20% - Accent2 24" xfId="452"/>
    <cellStyle name="20% - Accent2 25" xfId="466"/>
    <cellStyle name="20% - Accent2 26" xfId="480"/>
    <cellStyle name="20% - Accent2 27" xfId="494"/>
    <cellStyle name="20% - Accent2 28" xfId="508"/>
    <cellStyle name="20% - Accent2 29" xfId="522"/>
    <cellStyle name="20% - Accent2 3" xfId="131"/>
    <cellStyle name="20% - Accent2 30" xfId="536"/>
    <cellStyle name="20% - Accent2 31" xfId="550"/>
    <cellStyle name="20% - Accent2 32" xfId="564"/>
    <cellStyle name="20% - Accent2 33" xfId="578"/>
    <cellStyle name="20% - Accent2 34" xfId="592"/>
    <cellStyle name="20% - Accent2 35" xfId="607"/>
    <cellStyle name="20% - Accent2 4" xfId="145"/>
    <cellStyle name="20% - Accent2 5" xfId="159"/>
    <cellStyle name="20% - Accent2 6" xfId="173"/>
    <cellStyle name="20% - Accent2 7" xfId="187"/>
    <cellStyle name="20% - Accent2 8" xfId="201"/>
    <cellStyle name="20% - Accent2 9" xfId="215"/>
    <cellStyle name="20% - Accent3" xfId="3" builtinId="38" customBuiltin="1"/>
    <cellStyle name="20% - Accent3 10" xfId="231"/>
    <cellStyle name="20% - Accent3 11" xfId="245"/>
    <cellStyle name="20% - Accent3 12" xfId="279"/>
    <cellStyle name="20% - Accent3 13" xfId="300"/>
    <cellStyle name="20% - Accent3 14" xfId="314"/>
    <cellStyle name="20% - Accent3 15" xfId="328"/>
    <cellStyle name="20% - Accent3 16" xfId="342"/>
    <cellStyle name="20% - Accent3 17" xfId="356"/>
    <cellStyle name="20% - Accent3 18" xfId="370"/>
    <cellStyle name="20% - Accent3 19" xfId="384"/>
    <cellStyle name="20% - Accent3 2" xfId="119"/>
    <cellStyle name="20% - Accent3 20" xfId="398"/>
    <cellStyle name="20% - Accent3 21" xfId="412"/>
    <cellStyle name="20% - Accent3 22" xfId="426"/>
    <cellStyle name="20% - Accent3 23" xfId="440"/>
    <cellStyle name="20% - Accent3 24" xfId="454"/>
    <cellStyle name="20% - Accent3 25" xfId="468"/>
    <cellStyle name="20% - Accent3 26" xfId="482"/>
    <cellStyle name="20% - Accent3 27" xfId="496"/>
    <cellStyle name="20% - Accent3 28" xfId="510"/>
    <cellStyle name="20% - Accent3 29" xfId="524"/>
    <cellStyle name="20% - Accent3 3" xfId="133"/>
    <cellStyle name="20% - Accent3 30" xfId="538"/>
    <cellStyle name="20% - Accent3 31" xfId="552"/>
    <cellStyle name="20% - Accent3 32" xfId="566"/>
    <cellStyle name="20% - Accent3 33" xfId="580"/>
    <cellStyle name="20% - Accent3 34" xfId="594"/>
    <cellStyle name="20% - Accent3 35" xfId="609"/>
    <cellStyle name="20% - Accent3 4" xfId="147"/>
    <cellStyle name="20% - Accent3 5" xfId="161"/>
    <cellStyle name="20% - Accent3 6" xfId="175"/>
    <cellStyle name="20% - Accent3 7" xfId="189"/>
    <cellStyle name="20% - Accent3 8" xfId="203"/>
    <cellStyle name="20% - Accent3 9" xfId="217"/>
    <cellStyle name="20% - Accent4" xfId="4" builtinId="42" customBuiltin="1"/>
    <cellStyle name="20% - Accent4 10" xfId="233"/>
    <cellStyle name="20% - Accent4 11" xfId="247"/>
    <cellStyle name="20% - Accent4 12" xfId="283"/>
    <cellStyle name="20% - Accent4 13" xfId="302"/>
    <cellStyle name="20% - Accent4 14" xfId="316"/>
    <cellStyle name="20% - Accent4 15" xfId="330"/>
    <cellStyle name="20% - Accent4 16" xfId="344"/>
    <cellStyle name="20% - Accent4 17" xfId="358"/>
    <cellStyle name="20% - Accent4 18" xfId="372"/>
    <cellStyle name="20% - Accent4 19" xfId="386"/>
    <cellStyle name="20% - Accent4 2" xfId="121"/>
    <cellStyle name="20% - Accent4 20" xfId="400"/>
    <cellStyle name="20% - Accent4 21" xfId="414"/>
    <cellStyle name="20% - Accent4 22" xfId="428"/>
    <cellStyle name="20% - Accent4 23" xfId="442"/>
    <cellStyle name="20% - Accent4 24" xfId="456"/>
    <cellStyle name="20% - Accent4 25" xfId="470"/>
    <cellStyle name="20% - Accent4 26" xfId="484"/>
    <cellStyle name="20% - Accent4 27" xfId="498"/>
    <cellStyle name="20% - Accent4 28" xfId="512"/>
    <cellStyle name="20% - Accent4 29" xfId="526"/>
    <cellStyle name="20% - Accent4 3" xfId="135"/>
    <cellStyle name="20% - Accent4 30" xfId="540"/>
    <cellStyle name="20% - Accent4 31" xfId="554"/>
    <cellStyle name="20% - Accent4 32" xfId="568"/>
    <cellStyle name="20% - Accent4 33" xfId="582"/>
    <cellStyle name="20% - Accent4 34" xfId="596"/>
    <cellStyle name="20% - Accent4 35" xfId="611"/>
    <cellStyle name="20% - Accent4 4" xfId="149"/>
    <cellStyle name="20% - Accent4 5" xfId="163"/>
    <cellStyle name="20% - Accent4 6" xfId="177"/>
    <cellStyle name="20% - Accent4 7" xfId="191"/>
    <cellStyle name="20% - Accent4 8" xfId="205"/>
    <cellStyle name="20% - Accent4 9" xfId="219"/>
    <cellStyle name="20% - Accent5" xfId="5" builtinId="46" customBuiltin="1"/>
    <cellStyle name="20% - Accent5 10" xfId="235"/>
    <cellStyle name="20% - Accent5 11" xfId="249"/>
    <cellStyle name="20% - Accent5 12" xfId="287"/>
    <cellStyle name="20% - Accent5 13" xfId="304"/>
    <cellStyle name="20% - Accent5 14" xfId="318"/>
    <cellStyle name="20% - Accent5 15" xfId="332"/>
    <cellStyle name="20% - Accent5 16" xfId="346"/>
    <cellStyle name="20% - Accent5 17" xfId="360"/>
    <cellStyle name="20% - Accent5 18" xfId="374"/>
    <cellStyle name="20% - Accent5 19" xfId="388"/>
    <cellStyle name="20% - Accent5 2" xfId="123"/>
    <cellStyle name="20% - Accent5 20" xfId="402"/>
    <cellStyle name="20% - Accent5 21" xfId="416"/>
    <cellStyle name="20% - Accent5 22" xfId="430"/>
    <cellStyle name="20% - Accent5 23" xfId="444"/>
    <cellStyle name="20% - Accent5 24" xfId="458"/>
    <cellStyle name="20% - Accent5 25" xfId="472"/>
    <cellStyle name="20% - Accent5 26" xfId="486"/>
    <cellStyle name="20% - Accent5 27" xfId="500"/>
    <cellStyle name="20% - Accent5 28" xfId="514"/>
    <cellStyle name="20% - Accent5 29" xfId="528"/>
    <cellStyle name="20% - Accent5 3" xfId="137"/>
    <cellStyle name="20% - Accent5 30" xfId="542"/>
    <cellStyle name="20% - Accent5 31" xfId="556"/>
    <cellStyle name="20% - Accent5 32" xfId="570"/>
    <cellStyle name="20% - Accent5 33" xfId="584"/>
    <cellStyle name="20% - Accent5 34" xfId="598"/>
    <cellStyle name="20% - Accent5 35" xfId="613"/>
    <cellStyle name="20% - Accent5 4" xfId="151"/>
    <cellStyle name="20% - Accent5 5" xfId="165"/>
    <cellStyle name="20% - Accent5 6" xfId="179"/>
    <cellStyle name="20% - Accent5 7" xfId="193"/>
    <cellStyle name="20% - Accent5 8" xfId="207"/>
    <cellStyle name="20% - Accent5 9" xfId="221"/>
    <cellStyle name="20% - Accent6" xfId="6" builtinId="50" customBuiltin="1"/>
    <cellStyle name="20% - Accent6 10" xfId="237"/>
    <cellStyle name="20% - Accent6 11" xfId="251"/>
    <cellStyle name="20% - Accent6 12" xfId="291"/>
    <cellStyle name="20% - Accent6 13" xfId="306"/>
    <cellStyle name="20% - Accent6 14" xfId="320"/>
    <cellStyle name="20% - Accent6 15" xfId="334"/>
    <cellStyle name="20% - Accent6 16" xfId="348"/>
    <cellStyle name="20% - Accent6 17" xfId="362"/>
    <cellStyle name="20% - Accent6 18" xfId="376"/>
    <cellStyle name="20% - Accent6 19" xfId="390"/>
    <cellStyle name="20% - Accent6 2" xfId="125"/>
    <cellStyle name="20% - Accent6 20" xfId="404"/>
    <cellStyle name="20% - Accent6 21" xfId="418"/>
    <cellStyle name="20% - Accent6 22" xfId="432"/>
    <cellStyle name="20% - Accent6 23" xfId="446"/>
    <cellStyle name="20% - Accent6 24" xfId="460"/>
    <cellStyle name="20% - Accent6 25" xfId="474"/>
    <cellStyle name="20% - Accent6 26" xfId="488"/>
    <cellStyle name="20% - Accent6 27" xfId="502"/>
    <cellStyle name="20% - Accent6 28" xfId="516"/>
    <cellStyle name="20% - Accent6 29" xfId="530"/>
    <cellStyle name="20% - Accent6 3" xfId="139"/>
    <cellStyle name="20% - Accent6 30" xfId="544"/>
    <cellStyle name="20% - Accent6 31" xfId="558"/>
    <cellStyle name="20% - Accent6 32" xfId="572"/>
    <cellStyle name="20% - Accent6 33" xfId="586"/>
    <cellStyle name="20% - Accent6 34" xfId="600"/>
    <cellStyle name="20% - Accent6 35" xfId="615"/>
    <cellStyle name="20% - Accent6 4" xfId="153"/>
    <cellStyle name="20% - Accent6 5" xfId="167"/>
    <cellStyle name="20% - Accent6 6" xfId="181"/>
    <cellStyle name="20% - Accent6 7" xfId="195"/>
    <cellStyle name="20% - Accent6 8" xfId="209"/>
    <cellStyle name="20% - Accent6 9" xfId="223"/>
    <cellStyle name="40% - Accent1" xfId="7" builtinId="31" customBuiltin="1"/>
    <cellStyle name="40% - Accent1 10" xfId="228"/>
    <cellStyle name="40% - Accent1 11" xfId="242"/>
    <cellStyle name="40% - Accent1 12" xfId="272"/>
    <cellStyle name="40% - Accent1 13" xfId="297"/>
    <cellStyle name="40% - Accent1 14" xfId="311"/>
    <cellStyle name="40% - Accent1 15" xfId="325"/>
    <cellStyle name="40% - Accent1 16" xfId="339"/>
    <cellStyle name="40% - Accent1 17" xfId="353"/>
    <cellStyle name="40% - Accent1 18" xfId="367"/>
    <cellStyle name="40% - Accent1 19" xfId="381"/>
    <cellStyle name="40% - Accent1 2" xfId="116"/>
    <cellStyle name="40% - Accent1 20" xfId="395"/>
    <cellStyle name="40% - Accent1 21" xfId="409"/>
    <cellStyle name="40% - Accent1 22" xfId="423"/>
    <cellStyle name="40% - Accent1 23" xfId="437"/>
    <cellStyle name="40% - Accent1 24" xfId="451"/>
    <cellStyle name="40% - Accent1 25" xfId="465"/>
    <cellStyle name="40% - Accent1 26" xfId="479"/>
    <cellStyle name="40% - Accent1 27" xfId="493"/>
    <cellStyle name="40% - Accent1 28" xfId="507"/>
    <cellStyle name="40% - Accent1 29" xfId="521"/>
    <cellStyle name="40% - Accent1 3" xfId="130"/>
    <cellStyle name="40% - Accent1 30" xfId="535"/>
    <cellStyle name="40% - Accent1 31" xfId="549"/>
    <cellStyle name="40% - Accent1 32" xfId="563"/>
    <cellStyle name="40% - Accent1 33" xfId="577"/>
    <cellStyle name="40% - Accent1 34" xfId="591"/>
    <cellStyle name="40% - Accent1 35" xfId="606"/>
    <cellStyle name="40% - Accent1 4" xfId="144"/>
    <cellStyle name="40% - Accent1 5" xfId="158"/>
    <cellStyle name="40% - Accent1 6" xfId="172"/>
    <cellStyle name="40% - Accent1 7" xfId="186"/>
    <cellStyle name="40% - Accent1 8" xfId="200"/>
    <cellStyle name="40% - Accent1 9" xfId="214"/>
    <cellStyle name="40% - Accent2" xfId="8" builtinId="35" customBuiltin="1"/>
    <cellStyle name="40% - Accent2 10" xfId="230"/>
    <cellStyle name="40% - Accent2 11" xfId="244"/>
    <cellStyle name="40% - Accent2 12" xfId="276"/>
    <cellStyle name="40% - Accent2 13" xfId="299"/>
    <cellStyle name="40% - Accent2 14" xfId="313"/>
    <cellStyle name="40% - Accent2 15" xfId="327"/>
    <cellStyle name="40% - Accent2 16" xfId="341"/>
    <cellStyle name="40% - Accent2 17" xfId="355"/>
    <cellStyle name="40% - Accent2 18" xfId="369"/>
    <cellStyle name="40% - Accent2 19" xfId="383"/>
    <cellStyle name="40% - Accent2 2" xfId="118"/>
    <cellStyle name="40% - Accent2 20" xfId="397"/>
    <cellStyle name="40% - Accent2 21" xfId="411"/>
    <cellStyle name="40% - Accent2 22" xfId="425"/>
    <cellStyle name="40% - Accent2 23" xfId="439"/>
    <cellStyle name="40% - Accent2 24" xfId="453"/>
    <cellStyle name="40% - Accent2 25" xfId="467"/>
    <cellStyle name="40% - Accent2 26" xfId="481"/>
    <cellStyle name="40% - Accent2 27" xfId="495"/>
    <cellStyle name="40% - Accent2 28" xfId="509"/>
    <cellStyle name="40% - Accent2 29" xfId="523"/>
    <cellStyle name="40% - Accent2 3" xfId="132"/>
    <cellStyle name="40% - Accent2 30" xfId="537"/>
    <cellStyle name="40% - Accent2 31" xfId="551"/>
    <cellStyle name="40% - Accent2 32" xfId="565"/>
    <cellStyle name="40% - Accent2 33" xfId="579"/>
    <cellStyle name="40% - Accent2 34" xfId="593"/>
    <cellStyle name="40% - Accent2 35" xfId="608"/>
    <cellStyle name="40% - Accent2 4" xfId="146"/>
    <cellStyle name="40% - Accent2 5" xfId="160"/>
    <cellStyle name="40% - Accent2 6" xfId="174"/>
    <cellStyle name="40% - Accent2 7" xfId="188"/>
    <cellStyle name="40% - Accent2 8" xfId="202"/>
    <cellStyle name="40% - Accent2 9" xfId="216"/>
    <cellStyle name="40% - Accent3" xfId="9" builtinId="39" customBuiltin="1"/>
    <cellStyle name="40% - Accent3 10" xfId="232"/>
    <cellStyle name="40% - Accent3 11" xfId="246"/>
    <cellStyle name="40% - Accent3 12" xfId="280"/>
    <cellStyle name="40% - Accent3 13" xfId="301"/>
    <cellStyle name="40% - Accent3 14" xfId="315"/>
    <cellStyle name="40% - Accent3 15" xfId="329"/>
    <cellStyle name="40% - Accent3 16" xfId="343"/>
    <cellStyle name="40% - Accent3 17" xfId="357"/>
    <cellStyle name="40% - Accent3 18" xfId="371"/>
    <cellStyle name="40% - Accent3 19" xfId="385"/>
    <cellStyle name="40% - Accent3 2" xfId="120"/>
    <cellStyle name="40% - Accent3 20" xfId="399"/>
    <cellStyle name="40% - Accent3 21" xfId="413"/>
    <cellStyle name="40% - Accent3 22" xfId="427"/>
    <cellStyle name="40% - Accent3 23" xfId="441"/>
    <cellStyle name="40% - Accent3 24" xfId="455"/>
    <cellStyle name="40% - Accent3 25" xfId="469"/>
    <cellStyle name="40% - Accent3 26" xfId="483"/>
    <cellStyle name="40% - Accent3 27" xfId="497"/>
    <cellStyle name="40% - Accent3 28" xfId="511"/>
    <cellStyle name="40% - Accent3 29" xfId="525"/>
    <cellStyle name="40% - Accent3 3" xfId="134"/>
    <cellStyle name="40% - Accent3 30" xfId="539"/>
    <cellStyle name="40% - Accent3 31" xfId="553"/>
    <cellStyle name="40% - Accent3 32" xfId="567"/>
    <cellStyle name="40% - Accent3 33" xfId="581"/>
    <cellStyle name="40% - Accent3 34" xfId="595"/>
    <cellStyle name="40% - Accent3 35" xfId="610"/>
    <cellStyle name="40% - Accent3 4" xfId="148"/>
    <cellStyle name="40% - Accent3 5" xfId="162"/>
    <cellStyle name="40% - Accent3 6" xfId="176"/>
    <cellStyle name="40% - Accent3 7" xfId="190"/>
    <cellStyle name="40% - Accent3 8" xfId="204"/>
    <cellStyle name="40% - Accent3 9" xfId="218"/>
    <cellStyle name="40% - Accent4" xfId="10" builtinId="43" customBuiltin="1"/>
    <cellStyle name="40% - Accent4 10" xfId="234"/>
    <cellStyle name="40% - Accent4 11" xfId="248"/>
    <cellStyle name="40% - Accent4 12" xfId="284"/>
    <cellStyle name="40% - Accent4 13" xfId="303"/>
    <cellStyle name="40% - Accent4 14" xfId="317"/>
    <cellStyle name="40% - Accent4 15" xfId="331"/>
    <cellStyle name="40% - Accent4 16" xfId="345"/>
    <cellStyle name="40% - Accent4 17" xfId="359"/>
    <cellStyle name="40% - Accent4 18" xfId="373"/>
    <cellStyle name="40% - Accent4 19" xfId="387"/>
    <cellStyle name="40% - Accent4 2" xfId="122"/>
    <cellStyle name="40% - Accent4 20" xfId="401"/>
    <cellStyle name="40% - Accent4 21" xfId="415"/>
    <cellStyle name="40% - Accent4 22" xfId="429"/>
    <cellStyle name="40% - Accent4 23" xfId="443"/>
    <cellStyle name="40% - Accent4 24" xfId="457"/>
    <cellStyle name="40% - Accent4 25" xfId="471"/>
    <cellStyle name="40% - Accent4 26" xfId="485"/>
    <cellStyle name="40% - Accent4 27" xfId="499"/>
    <cellStyle name="40% - Accent4 28" xfId="513"/>
    <cellStyle name="40% - Accent4 29" xfId="527"/>
    <cellStyle name="40% - Accent4 3" xfId="136"/>
    <cellStyle name="40% - Accent4 30" xfId="541"/>
    <cellStyle name="40% - Accent4 31" xfId="555"/>
    <cellStyle name="40% - Accent4 32" xfId="569"/>
    <cellStyle name="40% - Accent4 33" xfId="583"/>
    <cellStyle name="40% - Accent4 34" xfId="597"/>
    <cellStyle name="40% - Accent4 35" xfId="612"/>
    <cellStyle name="40% - Accent4 4" xfId="150"/>
    <cellStyle name="40% - Accent4 5" xfId="164"/>
    <cellStyle name="40% - Accent4 6" xfId="178"/>
    <cellStyle name="40% - Accent4 7" xfId="192"/>
    <cellStyle name="40% - Accent4 8" xfId="206"/>
    <cellStyle name="40% - Accent4 9" xfId="220"/>
    <cellStyle name="40% - Accent5" xfId="11" builtinId="47" customBuiltin="1"/>
    <cellStyle name="40% - Accent5 10" xfId="236"/>
    <cellStyle name="40% - Accent5 11" xfId="250"/>
    <cellStyle name="40% - Accent5 12" xfId="288"/>
    <cellStyle name="40% - Accent5 13" xfId="305"/>
    <cellStyle name="40% - Accent5 14" xfId="319"/>
    <cellStyle name="40% - Accent5 15" xfId="333"/>
    <cellStyle name="40% - Accent5 16" xfId="347"/>
    <cellStyle name="40% - Accent5 17" xfId="361"/>
    <cellStyle name="40% - Accent5 18" xfId="375"/>
    <cellStyle name="40% - Accent5 19" xfId="389"/>
    <cellStyle name="40% - Accent5 2" xfId="124"/>
    <cellStyle name="40% - Accent5 20" xfId="403"/>
    <cellStyle name="40% - Accent5 21" xfId="417"/>
    <cellStyle name="40% - Accent5 22" xfId="431"/>
    <cellStyle name="40% - Accent5 23" xfId="445"/>
    <cellStyle name="40% - Accent5 24" xfId="459"/>
    <cellStyle name="40% - Accent5 25" xfId="473"/>
    <cellStyle name="40% - Accent5 26" xfId="487"/>
    <cellStyle name="40% - Accent5 27" xfId="501"/>
    <cellStyle name="40% - Accent5 28" xfId="515"/>
    <cellStyle name="40% - Accent5 29" xfId="529"/>
    <cellStyle name="40% - Accent5 3" xfId="138"/>
    <cellStyle name="40% - Accent5 30" xfId="543"/>
    <cellStyle name="40% - Accent5 31" xfId="557"/>
    <cellStyle name="40% - Accent5 32" xfId="571"/>
    <cellStyle name="40% - Accent5 33" xfId="585"/>
    <cellStyle name="40% - Accent5 34" xfId="599"/>
    <cellStyle name="40% - Accent5 35" xfId="614"/>
    <cellStyle name="40% - Accent5 4" xfId="152"/>
    <cellStyle name="40% - Accent5 5" xfId="166"/>
    <cellStyle name="40% - Accent5 6" xfId="180"/>
    <cellStyle name="40% - Accent5 7" xfId="194"/>
    <cellStyle name="40% - Accent5 8" xfId="208"/>
    <cellStyle name="40% - Accent5 9" xfId="222"/>
    <cellStyle name="40% - Accent6" xfId="12" builtinId="51" customBuiltin="1"/>
    <cellStyle name="40% - Accent6 10" xfId="238"/>
    <cellStyle name="40% - Accent6 11" xfId="252"/>
    <cellStyle name="40% - Accent6 12" xfId="292"/>
    <cellStyle name="40% - Accent6 13" xfId="307"/>
    <cellStyle name="40% - Accent6 14" xfId="321"/>
    <cellStyle name="40% - Accent6 15" xfId="335"/>
    <cellStyle name="40% - Accent6 16" xfId="349"/>
    <cellStyle name="40% - Accent6 17" xfId="363"/>
    <cellStyle name="40% - Accent6 18" xfId="377"/>
    <cellStyle name="40% - Accent6 19" xfId="391"/>
    <cellStyle name="40% - Accent6 2" xfId="126"/>
    <cellStyle name="40% - Accent6 20" xfId="405"/>
    <cellStyle name="40% - Accent6 21" xfId="419"/>
    <cellStyle name="40% - Accent6 22" xfId="433"/>
    <cellStyle name="40% - Accent6 23" xfId="447"/>
    <cellStyle name="40% - Accent6 24" xfId="461"/>
    <cellStyle name="40% - Accent6 25" xfId="475"/>
    <cellStyle name="40% - Accent6 26" xfId="489"/>
    <cellStyle name="40% - Accent6 27" xfId="503"/>
    <cellStyle name="40% - Accent6 28" xfId="517"/>
    <cellStyle name="40% - Accent6 29" xfId="531"/>
    <cellStyle name="40% - Accent6 3" xfId="140"/>
    <cellStyle name="40% - Accent6 30" xfId="545"/>
    <cellStyle name="40% - Accent6 31" xfId="559"/>
    <cellStyle name="40% - Accent6 32" xfId="573"/>
    <cellStyle name="40% - Accent6 33" xfId="587"/>
    <cellStyle name="40% - Accent6 34" xfId="601"/>
    <cellStyle name="40% - Accent6 35" xfId="616"/>
    <cellStyle name="40% - Accent6 4" xfId="154"/>
    <cellStyle name="40% - Accent6 5" xfId="168"/>
    <cellStyle name="40% - Accent6 6" xfId="182"/>
    <cellStyle name="40% - Accent6 7" xfId="196"/>
    <cellStyle name="40% - Accent6 8" xfId="210"/>
    <cellStyle name="40% - Accent6 9" xfId="224"/>
    <cellStyle name="60% - Accent1" xfId="13" builtinId="32" customBuiltin="1"/>
    <cellStyle name="60% - Accent1 2" xfId="273"/>
    <cellStyle name="60% - Accent2" xfId="14" builtinId="36" customBuiltin="1"/>
    <cellStyle name="60% - Accent2 2" xfId="277"/>
    <cellStyle name="60% - Accent3" xfId="15" builtinId="40" customBuiltin="1"/>
    <cellStyle name="60% - Accent3 2" xfId="281"/>
    <cellStyle name="60% - Accent4" xfId="16" builtinId="44" customBuiltin="1"/>
    <cellStyle name="60% - Accent4 2" xfId="285"/>
    <cellStyle name="60% - Accent5" xfId="17" builtinId="48" customBuiltin="1"/>
    <cellStyle name="60% - Accent5 2" xfId="289"/>
    <cellStyle name="60% - Accent6" xfId="18" builtinId="52" customBuiltin="1"/>
    <cellStyle name="60% - Accent6 2" xfId="293"/>
    <cellStyle name="Accent1" xfId="19" builtinId="29" customBuiltin="1"/>
    <cellStyle name="Accent1 2" xfId="270"/>
    <cellStyle name="Accent2" xfId="20" builtinId="33" customBuiltin="1"/>
    <cellStyle name="Accent2 2" xfId="274"/>
    <cellStyle name="Accent3" xfId="21" builtinId="37" customBuiltin="1"/>
    <cellStyle name="Accent3 2" xfId="278"/>
    <cellStyle name="Accent4" xfId="22" builtinId="41" customBuiltin="1"/>
    <cellStyle name="Accent4 2" xfId="282"/>
    <cellStyle name="Accent5" xfId="23" builtinId="45" customBuiltin="1"/>
    <cellStyle name="Accent5 2" xfId="286"/>
    <cellStyle name="Accent6" xfId="24" builtinId="49" customBuiltin="1"/>
    <cellStyle name="Accent6 2" xfId="290"/>
    <cellStyle name="Bad" xfId="25" builtinId="27" customBuiltin="1"/>
    <cellStyle name="Bad 2" xfId="259"/>
    <cellStyle name="Calculation" xfId="26" builtinId="22" customBuiltin="1"/>
    <cellStyle name="Calculation 2" xfId="263"/>
    <cellStyle name="Check Cell" xfId="27" builtinId="23" customBuiltin="1"/>
    <cellStyle name="Check Cell 2" xfId="265"/>
    <cellStyle name="Explanatory Text" xfId="28" builtinId="53" customBuiltin="1"/>
    <cellStyle name="Explanatory Text 2" xfId="268"/>
    <cellStyle name="Good" xfId="29" builtinId="26" customBuiltin="1"/>
    <cellStyle name="Good 2" xfId="258"/>
    <cellStyle name="Heading 1" xfId="30" builtinId="16" customBuiltin="1"/>
    <cellStyle name="Heading 1 2" xfId="254"/>
    <cellStyle name="Heading 2" xfId="31" builtinId="17" customBuiltin="1"/>
    <cellStyle name="Heading 2 2" xfId="255"/>
    <cellStyle name="Heading 3" xfId="32" builtinId="18" customBuiltin="1"/>
    <cellStyle name="Heading 3 2" xfId="256"/>
    <cellStyle name="Heading 4" xfId="33" builtinId="19" customBuiltin="1"/>
    <cellStyle name="Heading 4 2" xfId="257"/>
    <cellStyle name="Input" xfId="34" builtinId="20" customBuiltin="1"/>
    <cellStyle name="Input 2" xfId="261"/>
    <cellStyle name="Linked Cell" xfId="35" builtinId="24" customBuiltin="1"/>
    <cellStyle name="Linked Cell 2" xfId="264"/>
    <cellStyle name="Neutral" xfId="36" builtinId="28" customBuiltin="1"/>
    <cellStyle name="Neutral 2" xfId="260"/>
    <cellStyle name="Normal" xfId="0" builtinId="0"/>
    <cellStyle name="Normal 10" xfId="225"/>
    <cellStyle name="Normal 11" xfId="239"/>
    <cellStyle name="Normal 12" xfId="253"/>
    <cellStyle name="Normal 13" xfId="294"/>
    <cellStyle name="Normal 14" xfId="308"/>
    <cellStyle name="Normal 15" xfId="322"/>
    <cellStyle name="Normal 16" xfId="336"/>
    <cellStyle name="Normal 17" xfId="350"/>
    <cellStyle name="Normal 18" xfId="364"/>
    <cellStyle name="Normal 19" xfId="378"/>
    <cellStyle name="Normal 2" xfId="113"/>
    <cellStyle name="Normal 20" xfId="392"/>
    <cellStyle name="Normal 21" xfId="406"/>
    <cellStyle name="Normal 22" xfId="420"/>
    <cellStyle name="Normal 23" xfId="434"/>
    <cellStyle name="Normal 24" xfId="448"/>
    <cellStyle name="Normal 25" xfId="462"/>
    <cellStyle name="Normal 26" xfId="476"/>
    <cellStyle name="Normal 27" xfId="490"/>
    <cellStyle name="Normal 28" xfId="504"/>
    <cellStyle name="Normal 29" xfId="518"/>
    <cellStyle name="Normal 3" xfId="127"/>
    <cellStyle name="Normal 30" xfId="37"/>
    <cellStyle name="Normal 31" xfId="38"/>
    <cellStyle name="Normal 32" xfId="532"/>
    <cellStyle name="Normal 33" xfId="546"/>
    <cellStyle name="Normal 34" xfId="560"/>
    <cellStyle name="Normal 35" xfId="574"/>
    <cellStyle name="Normal 36" xfId="588"/>
    <cellStyle name="Normal 37" xfId="602"/>
    <cellStyle name="Normal 4" xfId="141"/>
    <cellStyle name="Normal 5" xfId="155"/>
    <cellStyle name="Normal 53" xfId="39"/>
    <cellStyle name="Normal 58" xfId="40"/>
    <cellStyle name="Normal 59" xfId="41"/>
    <cellStyle name="Normal 6" xfId="169"/>
    <cellStyle name="Normal 61" xfId="42"/>
    <cellStyle name="Normal 66" xfId="43"/>
    <cellStyle name="Normal 7" xfId="183"/>
    <cellStyle name="Normal 8" xfId="197"/>
    <cellStyle name="Normal 9" xfId="211"/>
    <cellStyle name="Note 10" xfId="44"/>
    <cellStyle name="Note 100" xfId="604"/>
    <cellStyle name="Note 11" xfId="45"/>
    <cellStyle name="Note 12" xfId="46"/>
    <cellStyle name="Note 13" xfId="47"/>
    <cellStyle name="Note 14" xfId="48"/>
    <cellStyle name="Note 15" xfId="49"/>
    <cellStyle name="Note 16" xfId="50"/>
    <cellStyle name="Note 17" xfId="51"/>
    <cellStyle name="Note 18" xfId="52"/>
    <cellStyle name="Note 19" xfId="53"/>
    <cellStyle name="Note 2" xfId="54"/>
    <cellStyle name="Note 20" xfId="55"/>
    <cellStyle name="Note 21" xfId="56"/>
    <cellStyle name="Note 22" xfId="57"/>
    <cellStyle name="Note 23" xfId="58"/>
    <cellStyle name="Note 24" xfId="59"/>
    <cellStyle name="Note 25" xfId="60"/>
    <cellStyle name="Note 26" xfId="61"/>
    <cellStyle name="Note 27" xfId="62"/>
    <cellStyle name="Note 28" xfId="63"/>
    <cellStyle name="Note 29" xfId="64"/>
    <cellStyle name="Note 3" xfId="65"/>
    <cellStyle name="Note 30" xfId="66"/>
    <cellStyle name="Note 31" xfId="67"/>
    <cellStyle name="Note 32" xfId="68"/>
    <cellStyle name="Note 33" xfId="69"/>
    <cellStyle name="Note 34" xfId="70"/>
    <cellStyle name="Note 35" xfId="71"/>
    <cellStyle name="Note 36" xfId="72"/>
    <cellStyle name="Note 37" xfId="73"/>
    <cellStyle name="Note 38" xfId="74"/>
    <cellStyle name="Note 39" xfId="75"/>
    <cellStyle name="Note 4" xfId="76"/>
    <cellStyle name="Note 40" xfId="77"/>
    <cellStyle name="Note 41" xfId="78"/>
    <cellStyle name="Note 42" xfId="79"/>
    <cellStyle name="Note 43" xfId="80"/>
    <cellStyle name="Note 44" xfId="81"/>
    <cellStyle name="Note 45" xfId="82"/>
    <cellStyle name="Note 46" xfId="83"/>
    <cellStyle name="Note 47" xfId="84"/>
    <cellStyle name="Note 48" xfId="85"/>
    <cellStyle name="Note 49" xfId="86"/>
    <cellStyle name="Note 5" xfId="87"/>
    <cellStyle name="Note 50" xfId="88"/>
    <cellStyle name="Note 51" xfId="89"/>
    <cellStyle name="Note 52" xfId="90"/>
    <cellStyle name="Note 53" xfId="91"/>
    <cellStyle name="Note 54" xfId="92"/>
    <cellStyle name="Note 55" xfId="93"/>
    <cellStyle name="Note 56" xfId="94"/>
    <cellStyle name="Note 57" xfId="95"/>
    <cellStyle name="Note 58" xfId="96"/>
    <cellStyle name="Note 59" xfId="97"/>
    <cellStyle name="Note 6" xfId="98"/>
    <cellStyle name="Note 60" xfId="99"/>
    <cellStyle name="Note 61" xfId="100"/>
    <cellStyle name="Note 62" xfId="101"/>
    <cellStyle name="Note 63" xfId="102"/>
    <cellStyle name="Note 64" xfId="103"/>
    <cellStyle name="Note 65" xfId="104"/>
    <cellStyle name="Note 66" xfId="105"/>
    <cellStyle name="Note 67" xfId="114"/>
    <cellStyle name="Note 68" xfId="128"/>
    <cellStyle name="Note 69" xfId="142"/>
    <cellStyle name="Note 7" xfId="106"/>
    <cellStyle name="Note 70" xfId="156"/>
    <cellStyle name="Note 71" xfId="170"/>
    <cellStyle name="Note 72" xfId="184"/>
    <cellStyle name="Note 73" xfId="198"/>
    <cellStyle name="Note 74" xfId="212"/>
    <cellStyle name="Note 75" xfId="226"/>
    <cellStyle name="Note 76" xfId="240"/>
    <cellStyle name="Note 77" xfId="267"/>
    <cellStyle name="Note 78" xfId="295"/>
    <cellStyle name="Note 79" xfId="309"/>
    <cellStyle name="Note 8" xfId="107"/>
    <cellStyle name="Note 80" xfId="323"/>
    <cellStyle name="Note 81" xfId="337"/>
    <cellStyle name="Note 82" xfId="351"/>
    <cellStyle name="Note 83" xfId="365"/>
    <cellStyle name="Note 84" xfId="379"/>
    <cellStyle name="Note 85" xfId="393"/>
    <cellStyle name="Note 86" xfId="407"/>
    <cellStyle name="Note 87" xfId="421"/>
    <cellStyle name="Note 88" xfId="435"/>
    <cellStyle name="Note 89" xfId="449"/>
    <cellStyle name="Note 9" xfId="108"/>
    <cellStyle name="Note 90" xfId="463"/>
    <cellStyle name="Note 91" xfId="477"/>
    <cellStyle name="Note 92" xfId="491"/>
    <cellStyle name="Note 93" xfId="505"/>
    <cellStyle name="Note 94" xfId="519"/>
    <cellStyle name="Note 95" xfId="533"/>
    <cellStyle name="Note 96" xfId="547"/>
    <cellStyle name="Note 97" xfId="561"/>
    <cellStyle name="Note 98" xfId="575"/>
    <cellStyle name="Note 99" xfId="589"/>
    <cellStyle name="Output" xfId="109" builtinId="21" customBuiltin="1"/>
    <cellStyle name="Output 2" xfId="262"/>
    <cellStyle name="Title" xfId="110" builtinId="15" customBuiltin="1"/>
    <cellStyle name="Title 2" xfId="603"/>
    <cellStyle name="Total" xfId="111" builtinId="25" customBuiltin="1"/>
    <cellStyle name="Total 2" xfId="269"/>
    <cellStyle name="Warning Text" xfId="112" builtinId="11" customBuiltin="1"/>
    <cellStyle name="Warning Text 2" xfId="26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32"/>
  <sheetViews>
    <sheetView tabSelected="1" view="pageBreakPreview" zoomScaleNormal="85" zoomScaleSheetLayoutView="100" zoomScalePageLayoutView="70" workbookViewId="0">
      <selection activeCell="L49" sqref="L49"/>
    </sheetView>
  </sheetViews>
  <sheetFormatPr defaultColWidth="9.140625" defaultRowHeight="15" x14ac:dyDescent="0.2"/>
  <cols>
    <col min="1" max="1" width="15.28515625" style="1" customWidth="1"/>
    <col min="2" max="2" width="10.5703125" style="2" bestFit="1" customWidth="1"/>
    <col min="3" max="3" width="10.7109375" style="2" customWidth="1"/>
    <col min="4" max="4" width="10.140625" style="2" customWidth="1"/>
    <col min="5" max="6" width="14" style="3" customWidth="1"/>
    <col min="7" max="7" width="34" style="1" customWidth="1"/>
    <col min="8" max="8" width="29.7109375" style="65" customWidth="1"/>
    <col min="9" max="9" width="15" style="14" customWidth="1"/>
    <col min="10" max="10" width="14.140625" style="14" customWidth="1"/>
    <col min="11" max="11" width="14.28515625" style="14" customWidth="1"/>
    <col min="12" max="12" width="17" style="14" customWidth="1"/>
    <col min="13" max="16384" width="9.140625" style="1"/>
  </cols>
  <sheetData>
    <row r="1" spans="1:13" ht="30" customHeight="1" x14ac:dyDescent="0.2">
      <c r="A1" s="59" t="s">
        <v>187</v>
      </c>
      <c r="B1" s="85"/>
      <c r="C1" s="85"/>
      <c r="D1" s="85"/>
      <c r="E1" s="85"/>
      <c r="F1" s="85"/>
      <c r="G1" s="85"/>
      <c r="H1" s="69"/>
      <c r="I1" s="85"/>
      <c r="J1" s="85"/>
      <c r="K1" s="85"/>
      <c r="L1" s="85"/>
    </row>
    <row r="2" spans="1:13" ht="30" customHeight="1" x14ac:dyDescent="0.2">
      <c r="A2" s="6" t="s">
        <v>154</v>
      </c>
      <c r="B2" s="7" t="s">
        <v>29</v>
      </c>
      <c r="C2" s="7" t="s">
        <v>150</v>
      </c>
      <c r="D2" s="7" t="s">
        <v>151</v>
      </c>
      <c r="E2" s="8" t="s">
        <v>1</v>
      </c>
      <c r="F2" s="8" t="s">
        <v>16</v>
      </c>
      <c r="G2" s="9" t="s">
        <v>32</v>
      </c>
      <c r="H2" s="91" t="s">
        <v>31</v>
      </c>
      <c r="I2" s="13" t="s">
        <v>22</v>
      </c>
      <c r="J2" s="13" t="s">
        <v>21</v>
      </c>
      <c r="K2" s="13" t="s">
        <v>24</v>
      </c>
      <c r="L2" s="13" t="s">
        <v>33</v>
      </c>
    </row>
    <row r="3" spans="1:13" s="4" customFormat="1" ht="30" customHeight="1" x14ac:dyDescent="0.25">
      <c r="A3" s="16"/>
      <c r="B3" s="5"/>
      <c r="C3" s="5"/>
      <c r="D3" s="5"/>
      <c r="E3" s="5"/>
      <c r="F3" s="5"/>
      <c r="G3" s="19" t="s">
        <v>121</v>
      </c>
      <c r="H3" s="92"/>
      <c r="I3" s="17"/>
      <c r="J3" s="17"/>
      <c r="K3" s="17"/>
      <c r="L3" s="17"/>
    </row>
    <row r="4" spans="1:13" s="20" customFormat="1" ht="15" customHeight="1" x14ac:dyDescent="0.2">
      <c r="A4" s="20" t="str">
        <f t="shared" ref="A4:A35" si="0">LOOKUP(B4,B$66:C$78)</f>
        <v>Thorne Bay</v>
      </c>
      <c r="B4" s="86">
        <v>100554</v>
      </c>
      <c r="C4" s="87" t="s">
        <v>125</v>
      </c>
      <c r="D4" s="86" t="s">
        <v>99</v>
      </c>
      <c r="E4" s="88">
        <v>42612</v>
      </c>
      <c r="F4" s="88">
        <v>42983</v>
      </c>
      <c r="G4" s="48" t="s">
        <v>79</v>
      </c>
      <c r="H4" s="93" t="s">
        <v>204</v>
      </c>
      <c r="I4" s="89">
        <v>24.42</v>
      </c>
      <c r="J4" s="89">
        <v>24.42</v>
      </c>
      <c r="K4" s="89">
        <f>I4-J4</f>
        <v>0</v>
      </c>
      <c r="L4" s="90">
        <v>0</v>
      </c>
      <c r="M4" s="48"/>
    </row>
    <row r="5" spans="1:13" s="20" customFormat="1" ht="15" customHeight="1" x14ac:dyDescent="0.2">
      <c r="A5" s="20" t="str">
        <f t="shared" si="0"/>
        <v>Thorne Bay</v>
      </c>
      <c r="B5" s="86">
        <v>100554</v>
      </c>
      <c r="C5" s="87" t="s">
        <v>142</v>
      </c>
      <c r="D5" s="86" t="s">
        <v>99</v>
      </c>
      <c r="E5" s="88">
        <v>42619</v>
      </c>
      <c r="F5" s="88">
        <v>42993</v>
      </c>
      <c r="G5" s="48" t="s">
        <v>79</v>
      </c>
      <c r="H5" s="93" t="s">
        <v>203</v>
      </c>
      <c r="I5" s="89">
        <v>34.71</v>
      </c>
      <c r="J5" s="89">
        <v>34.71</v>
      </c>
      <c r="K5" s="89">
        <f>I5-J5</f>
        <v>0</v>
      </c>
      <c r="L5" s="90">
        <v>0</v>
      </c>
      <c r="M5" s="48"/>
    </row>
    <row r="6" spans="1:13" s="20" customFormat="1" ht="15" customHeight="1" x14ac:dyDescent="0.2">
      <c r="A6" s="20" t="str">
        <f t="shared" si="0"/>
        <v>Thorne Bay</v>
      </c>
      <c r="B6" s="86">
        <v>100554</v>
      </c>
      <c r="C6" s="87" t="s">
        <v>126</v>
      </c>
      <c r="D6" s="86" t="s">
        <v>99</v>
      </c>
      <c r="E6" s="88">
        <v>42612</v>
      </c>
      <c r="F6" s="88">
        <v>42983</v>
      </c>
      <c r="G6" s="48" t="s">
        <v>79</v>
      </c>
      <c r="H6" s="93" t="s">
        <v>202</v>
      </c>
      <c r="I6" s="89">
        <v>9.56</v>
      </c>
      <c r="J6" s="89">
        <v>9.56</v>
      </c>
      <c r="K6" s="89">
        <f>I6-J6</f>
        <v>0</v>
      </c>
      <c r="L6" s="90">
        <v>0</v>
      </c>
      <c r="M6" s="48"/>
    </row>
    <row r="7" spans="1:13" s="20" customFormat="1" ht="15" customHeight="1" x14ac:dyDescent="0.2">
      <c r="A7" s="20" t="str">
        <f t="shared" si="0"/>
        <v>Thorne Bay</v>
      </c>
      <c r="B7" s="86">
        <v>100554</v>
      </c>
      <c r="C7" s="87" t="s">
        <v>166</v>
      </c>
      <c r="D7" s="86" t="s">
        <v>99</v>
      </c>
      <c r="E7" s="88">
        <v>42871</v>
      </c>
      <c r="F7" s="88">
        <v>43245</v>
      </c>
      <c r="G7" s="48" t="s">
        <v>79</v>
      </c>
      <c r="H7" s="93" t="s">
        <v>201</v>
      </c>
      <c r="I7" s="89">
        <v>8.94</v>
      </c>
      <c r="J7" s="89">
        <v>0</v>
      </c>
      <c r="K7" s="89">
        <v>8.94</v>
      </c>
      <c r="L7" s="90">
        <v>906.39</v>
      </c>
      <c r="M7" s="48"/>
    </row>
    <row r="8" spans="1:13" s="20" customFormat="1" ht="15" customHeight="1" x14ac:dyDescent="0.2">
      <c r="A8" s="20" t="str">
        <f t="shared" si="0"/>
        <v>Thorne Bay</v>
      </c>
      <c r="B8" s="86">
        <v>100554</v>
      </c>
      <c r="C8" s="87" t="s">
        <v>172</v>
      </c>
      <c r="D8" s="86" t="s">
        <v>99</v>
      </c>
      <c r="E8" s="88">
        <v>42921</v>
      </c>
      <c r="F8" s="88">
        <v>43296</v>
      </c>
      <c r="G8" s="48" t="s">
        <v>79</v>
      </c>
      <c r="H8" s="93" t="s">
        <v>200</v>
      </c>
      <c r="I8" s="89">
        <v>4.76</v>
      </c>
      <c r="J8" s="89">
        <v>0</v>
      </c>
      <c r="K8" s="89">
        <v>4.76</v>
      </c>
      <c r="L8" s="90">
        <v>481.65</v>
      </c>
      <c r="M8" s="48"/>
    </row>
    <row r="9" spans="1:13" s="20" customFormat="1" ht="15" customHeight="1" x14ac:dyDescent="0.2">
      <c r="A9" s="20" t="str">
        <f t="shared" si="0"/>
        <v>Thorne Bay</v>
      </c>
      <c r="B9" s="86">
        <v>100554</v>
      </c>
      <c r="C9" s="87" t="s">
        <v>127</v>
      </c>
      <c r="D9" s="86" t="s">
        <v>99</v>
      </c>
      <c r="E9" s="88">
        <v>42605</v>
      </c>
      <c r="F9" s="88">
        <v>42977</v>
      </c>
      <c r="G9" s="48" t="s">
        <v>107</v>
      </c>
      <c r="H9" s="93" t="s">
        <v>199</v>
      </c>
      <c r="I9" s="89">
        <v>19.53</v>
      </c>
      <c r="J9" s="89">
        <v>19.53</v>
      </c>
      <c r="K9" s="89">
        <f>I9-J9</f>
        <v>0</v>
      </c>
      <c r="L9" s="90">
        <v>0</v>
      </c>
      <c r="M9" s="48"/>
    </row>
    <row r="10" spans="1:13" s="20" customFormat="1" ht="15" customHeight="1" x14ac:dyDescent="0.2">
      <c r="A10" s="20" t="str">
        <f t="shared" si="0"/>
        <v>Thorne Bay</v>
      </c>
      <c r="B10" s="86">
        <v>100554</v>
      </c>
      <c r="C10" s="87" t="s">
        <v>167</v>
      </c>
      <c r="D10" s="86" t="s">
        <v>99</v>
      </c>
      <c r="E10" s="88">
        <v>42906</v>
      </c>
      <c r="F10" s="88">
        <v>43276</v>
      </c>
      <c r="G10" s="48" t="s">
        <v>107</v>
      </c>
      <c r="H10" s="93" t="s">
        <v>198</v>
      </c>
      <c r="I10" s="89">
        <v>7</v>
      </c>
      <c r="J10" s="89">
        <v>0</v>
      </c>
      <c r="K10" s="89">
        <v>7</v>
      </c>
      <c r="L10" s="90">
        <v>378.91</v>
      </c>
      <c r="M10" s="48"/>
    </row>
    <row r="11" spans="1:13" s="20" customFormat="1" ht="15" customHeight="1" x14ac:dyDescent="0.2">
      <c r="A11" s="20" t="str">
        <f t="shared" si="0"/>
        <v>Wrangell</v>
      </c>
      <c r="B11" s="86">
        <v>100522</v>
      </c>
      <c r="C11" s="87" t="s">
        <v>44</v>
      </c>
      <c r="D11" s="86">
        <v>13</v>
      </c>
      <c r="E11" s="88">
        <v>40799</v>
      </c>
      <c r="F11" s="88">
        <v>43244</v>
      </c>
      <c r="G11" s="20" t="s">
        <v>5</v>
      </c>
      <c r="H11" s="94" t="s">
        <v>42</v>
      </c>
      <c r="I11" s="89">
        <v>25856.97</v>
      </c>
      <c r="J11" s="89">
        <v>19821.93</v>
      </c>
      <c r="K11" s="89">
        <v>6035.04</v>
      </c>
      <c r="L11" s="90">
        <v>233543.16</v>
      </c>
      <c r="M11" s="48"/>
    </row>
    <row r="12" spans="1:13" s="20" customFormat="1" ht="15" customHeight="1" x14ac:dyDescent="0.2">
      <c r="A12" s="20" t="str">
        <f t="shared" si="0"/>
        <v>Wrangell</v>
      </c>
      <c r="B12" s="86">
        <v>100522</v>
      </c>
      <c r="C12" s="87" t="s">
        <v>45</v>
      </c>
      <c r="D12" s="86">
        <v>6</v>
      </c>
      <c r="E12" s="88">
        <v>38657</v>
      </c>
      <c r="F12" s="88">
        <v>42500</v>
      </c>
      <c r="G12" s="20" t="s">
        <v>5</v>
      </c>
      <c r="H12" s="62" t="s">
        <v>23</v>
      </c>
      <c r="I12" s="89">
        <v>15643.91</v>
      </c>
      <c r="J12" s="89">
        <v>15643.91</v>
      </c>
      <c r="K12" s="89">
        <v>0</v>
      </c>
      <c r="L12" s="90">
        <v>0</v>
      </c>
      <c r="M12" s="48"/>
    </row>
    <row r="13" spans="1:13" s="20" customFormat="1" ht="15" customHeight="1" x14ac:dyDescent="0.2">
      <c r="A13" s="20" t="str">
        <f t="shared" si="0"/>
        <v>Wrangell</v>
      </c>
      <c r="B13" s="86">
        <v>100522</v>
      </c>
      <c r="C13" s="87" t="s">
        <v>57</v>
      </c>
      <c r="D13" s="86">
        <v>6</v>
      </c>
      <c r="E13" s="88">
        <v>41380</v>
      </c>
      <c r="F13" s="88">
        <v>43404</v>
      </c>
      <c r="G13" s="20" t="s">
        <v>5</v>
      </c>
      <c r="H13" s="62" t="s">
        <v>56</v>
      </c>
      <c r="I13" s="89">
        <v>3452</v>
      </c>
      <c r="J13" s="89">
        <v>2711.59</v>
      </c>
      <c r="K13" s="89">
        <v>740.41</v>
      </c>
      <c r="L13" s="90">
        <v>38056.089999999997</v>
      </c>
      <c r="M13" s="48"/>
    </row>
    <row r="14" spans="1:13" s="20" customFormat="1" ht="15" customHeight="1" x14ac:dyDescent="0.2">
      <c r="A14" s="20" t="str">
        <f t="shared" si="0"/>
        <v>Thorne Bay</v>
      </c>
      <c r="B14" s="86">
        <v>100554</v>
      </c>
      <c r="C14" s="87" t="s">
        <v>88</v>
      </c>
      <c r="D14" s="86">
        <v>6</v>
      </c>
      <c r="E14" s="88">
        <v>42262</v>
      </c>
      <c r="F14" s="88">
        <v>44499</v>
      </c>
      <c r="G14" s="48" t="s">
        <v>84</v>
      </c>
      <c r="H14" s="93" t="s">
        <v>85</v>
      </c>
      <c r="I14" s="89">
        <v>3911</v>
      </c>
      <c r="J14" s="89">
        <v>0</v>
      </c>
      <c r="K14" s="89">
        <v>3911</v>
      </c>
      <c r="L14" s="90">
        <v>442529.89</v>
      </c>
      <c r="M14" s="48"/>
    </row>
    <row r="15" spans="1:13" s="20" customFormat="1" ht="15" customHeight="1" x14ac:dyDescent="0.2">
      <c r="A15" s="20" t="str">
        <f t="shared" si="0"/>
        <v>Craig</v>
      </c>
      <c r="B15" s="86">
        <v>100551</v>
      </c>
      <c r="C15" s="87" t="s">
        <v>180</v>
      </c>
      <c r="D15" s="86">
        <v>4</v>
      </c>
      <c r="E15" s="88">
        <v>43004</v>
      </c>
      <c r="F15" s="88">
        <v>43373</v>
      </c>
      <c r="G15" s="21" t="s">
        <v>183</v>
      </c>
      <c r="H15" s="95" t="s">
        <v>205</v>
      </c>
      <c r="I15" s="89">
        <v>0.1</v>
      </c>
      <c r="J15" s="89">
        <v>0.1</v>
      </c>
      <c r="K15" s="89">
        <v>0</v>
      </c>
      <c r="L15" s="90">
        <v>0</v>
      </c>
      <c r="M15" s="48"/>
    </row>
    <row r="16" spans="1:13" s="20" customFormat="1" ht="15" customHeight="1" x14ac:dyDescent="0.2">
      <c r="A16" s="20" t="str">
        <f t="shared" si="0"/>
        <v>Sitka</v>
      </c>
      <c r="B16" s="86">
        <v>100531</v>
      </c>
      <c r="C16" s="87" t="s">
        <v>60</v>
      </c>
      <c r="D16" s="86" t="s">
        <v>80</v>
      </c>
      <c r="E16" s="88">
        <v>41445</v>
      </c>
      <c r="F16" s="88">
        <v>43921</v>
      </c>
      <c r="G16" s="21" t="s">
        <v>58</v>
      </c>
      <c r="H16" s="95" t="s">
        <v>59</v>
      </c>
      <c r="I16" s="89">
        <v>7582</v>
      </c>
      <c r="J16" s="89">
        <v>7582</v>
      </c>
      <c r="K16" s="89">
        <v>0</v>
      </c>
      <c r="L16" s="90">
        <v>0</v>
      </c>
      <c r="M16" s="48"/>
    </row>
    <row r="17" spans="1:13" s="20" customFormat="1" ht="15" customHeight="1" x14ac:dyDescent="0.2">
      <c r="A17" s="20" t="str">
        <f t="shared" si="0"/>
        <v>Thorne Bay</v>
      </c>
      <c r="B17" s="86">
        <v>100554</v>
      </c>
      <c r="C17" s="87" t="s">
        <v>143</v>
      </c>
      <c r="D17" s="86" t="s">
        <v>80</v>
      </c>
      <c r="E17" s="88">
        <v>42633</v>
      </c>
      <c r="F17" s="88">
        <v>43404</v>
      </c>
      <c r="G17" s="22" t="s">
        <v>135</v>
      </c>
      <c r="H17" s="96" t="s">
        <v>134</v>
      </c>
      <c r="I17" s="89">
        <v>49.4</v>
      </c>
      <c r="J17" s="89">
        <v>0</v>
      </c>
      <c r="K17" s="89">
        <v>49.4</v>
      </c>
      <c r="L17" s="90">
        <v>3907.3</v>
      </c>
      <c r="M17" s="48"/>
    </row>
    <row r="18" spans="1:13" s="20" customFormat="1" ht="15" customHeight="1" x14ac:dyDescent="0.2">
      <c r="A18" s="20" t="str">
        <f t="shared" si="0"/>
        <v>Sitka</v>
      </c>
      <c r="B18" s="86">
        <v>100531</v>
      </c>
      <c r="C18" s="87" t="s">
        <v>71</v>
      </c>
      <c r="D18" s="86" t="s">
        <v>80</v>
      </c>
      <c r="E18" s="88">
        <v>41982</v>
      </c>
      <c r="F18" s="88">
        <v>43109</v>
      </c>
      <c r="G18" s="20" t="s">
        <v>54</v>
      </c>
      <c r="H18" s="62" t="s">
        <v>69</v>
      </c>
      <c r="I18" s="89">
        <v>18.28</v>
      </c>
      <c r="J18" s="89">
        <v>10.11</v>
      </c>
      <c r="K18" s="89">
        <v>8.17</v>
      </c>
      <c r="L18" s="90">
        <v>432.39</v>
      </c>
      <c r="M18" s="48"/>
    </row>
    <row r="19" spans="1:13" s="20" customFormat="1" ht="15" customHeight="1" x14ac:dyDescent="0.2">
      <c r="A19" s="20" t="str">
        <f t="shared" si="0"/>
        <v>Juneau</v>
      </c>
      <c r="B19" s="86">
        <v>100533</v>
      </c>
      <c r="C19" s="87" t="s">
        <v>68</v>
      </c>
      <c r="D19" s="86" t="s">
        <v>80</v>
      </c>
      <c r="E19" s="88">
        <v>41948</v>
      </c>
      <c r="F19" s="88">
        <v>44135</v>
      </c>
      <c r="G19" s="23" t="s">
        <v>36</v>
      </c>
      <c r="H19" s="97" t="s">
        <v>67</v>
      </c>
      <c r="I19" s="89">
        <v>737.59</v>
      </c>
      <c r="J19" s="89">
        <v>28</v>
      </c>
      <c r="K19" s="89">
        <v>709.59</v>
      </c>
      <c r="L19" s="90">
        <v>10766.84</v>
      </c>
      <c r="M19" s="48"/>
    </row>
    <row r="20" spans="1:13" s="20" customFormat="1" ht="15" customHeight="1" x14ac:dyDescent="0.2">
      <c r="A20" s="20" t="str">
        <f t="shared" si="0"/>
        <v>Juneau</v>
      </c>
      <c r="B20" s="86">
        <v>100533</v>
      </c>
      <c r="C20" s="87" t="s">
        <v>64</v>
      </c>
      <c r="D20" s="86" t="s">
        <v>80</v>
      </c>
      <c r="E20" s="88">
        <v>41786</v>
      </c>
      <c r="F20" s="88">
        <v>43616</v>
      </c>
      <c r="G20" s="23" t="s">
        <v>36</v>
      </c>
      <c r="H20" s="97" t="s">
        <v>86</v>
      </c>
      <c r="I20" s="89">
        <v>158.33000000000001</v>
      </c>
      <c r="J20" s="89">
        <v>141.44999999999999</v>
      </c>
      <c r="K20" s="89">
        <v>16.88</v>
      </c>
      <c r="L20" s="90">
        <v>138.22</v>
      </c>
      <c r="M20" s="48"/>
    </row>
    <row r="21" spans="1:13" s="20" customFormat="1" ht="15" customHeight="1" x14ac:dyDescent="0.2">
      <c r="A21" s="20" t="str">
        <f t="shared" si="0"/>
        <v>Hoonah</v>
      </c>
      <c r="B21" s="86">
        <v>100532</v>
      </c>
      <c r="C21" s="87" t="s">
        <v>144</v>
      </c>
      <c r="D21" s="86" t="s">
        <v>80</v>
      </c>
      <c r="E21" s="88">
        <v>42619</v>
      </c>
      <c r="F21" s="88">
        <v>43769</v>
      </c>
      <c r="G21" s="20" t="s">
        <v>6</v>
      </c>
      <c r="H21" s="96" t="s">
        <v>136</v>
      </c>
      <c r="I21" s="89">
        <v>38.840000000000003</v>
      </c>
      <c r="J21" s="89">
        <v>0</v>
      </c>
      <c r="K21" s="89">
        <v>38.840000000000003</v>
      </c>
      <c r="L21" s="90">
        <v>736</v>
      </c>
      <c r="M21" s="48"/>
    </row>
    <row r="22" spans="1:13" s="20" customFormat="1" ht="15" customHeight="1" x14ac:dyDescent="0.2">
      <c r="A22" s="20" t="str">
        <f t="shared" si="0"/>
        <v>Hoonah</v>
      </c>
      <c r="B22" s="86">
        <v>100532</v>
      </c>
      <c r="C22" s="87" t="s">
        <v>145</v>
      </c>
      <c r="D22" s="86" t="s">
        <v>80</v>
      </c>
      <c r="E22" s="88">
        <v>42619</v>
      </c>
      <c r="F22" s="88">
        <v>43769</v>
      </c>
      <c r="G22" s="20" t="s">
        <v>6</v>
      </c>
      <c r="H22" s="96" t="s">
        <v>137</v>
      </c>
      <c r="I22" s="89">
        <v>59.01</v>
      </c>
      <c r="J22" s="89">
        <v>21.71</v>
      </c>
      <c r="K22" s="89">
        <v>37.299999999999997</v>
      </c>
      <c r="L22" s="90">
        <v>775.08</v>
      </c>
      <c r="M22" s="48"/>
    </row>
    <row r="23" spans="1:13" s="20" customFormat="1" ht="15" customHeight="1" x14ac:dyDescent="0.2">
      <c r="A23" s="20" t="str">
        <f t="shared" si="0"/>
        <v>Petersburg</v>
      </c>
      <c r="B23" s="86">
        <v>100521</v>
      </c>
      <c r="C23" s="87" t="s">
        <v>65</v>
      </c>
      <c r="D23" s="86" t="s">
        <v>80</v>
      </c>
      <c r="E23" s="88">
        <v>41772</v>
      </c>
      <c r="F23" s="88">
        <v>43236</v>
      </c>
      <c r="G23" s="22" t="s">
        <v>43</v>
      </c>
      <c r="H23" s="98" t="s">
        <v>63</v>
      </c>
      <c r="I23" s="89">
        <v>177</v>
      </c>
      <c r="J23" s="89">
        <v>39.5</v>
      </c>
      <c r="K23" s="89">
        <v>137.5</v>
      </c>
      <c r="L23" s="90">
        <v>1056.75</v>
      </c>
      <c r="M23" s="48"/>
    </row>
    <row r="24" spans="1:13" s="20" customFormat="1" ht="15" customHeight="1" x14ac:dyDescent="0.2">
      <c r="A24" s="20" t="str">
        <f t="shared" si="0"/>
        <v>Thorne Bay</v>
      </c>
      <c r="B24" s="86">
        <v>100554</v>
      </c>
      <c r="C24" s="87" t="s">
        <v>83</v>
      </c>
      <c r="D24" s="86">
        <v>6</v>
      </c>
      <c r="E24" s="88">
        <v>42185</v>
      </c>
      <c r="F24" s="88">
        <v>44042</v>
      </c>
      <c r="G24" s="49" t="s">
        <v>81</v>
      </c>
      <c r="H24" s="99" t="s">
        <v>82</v>
      </c>
      <c r="I24" s="89">
        <v>518</v>
      </c>
      <c r="J24" s="89">
        <v>300.63</v>
      </c>
      <c r="K24" s="89">
        <v>217.37</v>
      </c>
      <c r="L24" s="90">
        <v>12570.51</v>
      </c>
      <c r="M24" s="48"/>
    </row>
    <row r="25" spans="1:13" s="20" customFormat="1" ht="15" customHeight="1" x14ac:dyDescent="0.2">
      <c r="A25" s="20" t="str">
        <f t="shared" si="0"/>
        <v>Thorne Bay</v>
      </c>
      <c r="B25" s="86">
        <v>100554</v>
      </c>
      <c r="C25" s="87" t="s">
        <v>128</v>
      </c>
      <c r="D25" s="86" t="s">
        <v>80</v>
      </c>
      <c r="E25" s="88">
        <v>42563</v>
      </c>
      <c r="F25" s="88">
        <v>43404</v>
      </c>
      <c r="G25" s="49" t="s">
        <v>81</v>
      </c>
      <c r="H25" s="99" t="s">
        <v>124</v>
      </c>
      <c r="I25" s="89">
        <v>188.79</v>
      </c>
      <c r="J25" s="89">
        <v>0</v>
      </c>
      <c r="K25" s="89">
        <v>188.79</v>
      </c>
      <c r="L25" s="90">
        <v>33041.919999999998</v>
      </c>
      <c r="M25" s="48"/>
    </row>
    <row r="26" spans="1:13" s="20" customFormat="1" ht="15" customHeight="1" x14ac:dyDescent="0.2">
      <c r="A26" s="20" t="str">
        <f t="shared" si="0"/>
        <v>Admirality</v>
      </c>
      <c r="B26" s="86">
        <v>100534</v>
      </c>
      <c r="C26" s="87" t="s">
        <v>98</v>
      </c>
      <c r="D26" s="86" t="s">
        <v>80</v>
      </c>
      <c r="E26" s="88">
        <v>42396</v>
      </c>
      <c r="F26" s="88">
        <v>43404</v>
      </c>
      <c r="G26" s="20" t="s">
        <v>97</v>
      </c>
      <c r="H26" s="62" t="s">
        <v>96</v>
      </c>
      <c r="I26" s="89">
        <v>15.2</v>
      </c>
      <c r="J26" s="89">
        <v>0</v>
      </c>
      <c r="K26" s="89">
        <v>15.2</v>
      </c>
      <c r="L26" s="90">
        <v>436.74</v>
      </c>
      <c r="M26" s="48"/>
    </row>
    <row r="27" spans="1:13" s="20" customFormat="1" ht="15" customHeight="1" x14ac:dyDescent="0.2">
      <c r="A27" s="20" t="str">
        <f t="shared" si="0"/>
        <v>Petersburg</v>
      </c>
      <c r="B27" s="86">
        <v>100521</v>
      </c>
      <c r="C27" s="87" t="s">
        <v>149</v>
      </c>
      <c r="D27" s="86" t="s">
        <v>99</v>
      </c>
      <c r="E27" s="88">
        <v>42661</v>
      </c>
      <c r="F27" s="88">
        <v>43039</v>
      </c>
      <c r="G27" s="20" t="s">
        <v>138</v>
      </c>
      <c r="H27" s="62" t="s">
        <v>148</v>
      </c>
      <c r="I27" s="89">
        <v>6.8</v>
      </c>
      <c r="J27" s="89">
        <v>6.8</v>
      </c>
      <c r="K27" s="89">
        <v>0</v>
      </c>
      <c r="L27" s="90">
        <v>0</v>
      </c>
      <c r="M27" s="48"/>
    </row>
    <row r="28" spans="1:13" s="20" customFormat="1" ht="15" customHeight="1" x14ac:dyDescent="0.2">
      <c r="A28" s="20" t="str">
        <f t="shared" si="0"/>
        <v>Petersburg</v>
      </c>
      <c r="B28" s="86">
        <v>100521</v>
      </c>
      <c r="C28" s="87" t="s">
        <v>185</v>
      </c>
      <c r="D28" s="86" t="s">
        <v>99</v>
      </c>
      <c r="E28" s="88">
        <v>43045</v>
      </c>
      <c r="F28" s="88">
        <v>43404</v>
      </c>
      <c r="G28" s="20" t="s">
        <v>138</v>
      </c>
      <c r="H28" s="62" t="s">
        <v>184</v>
      </c>
      <c r="I28" s="89">
        <v>26.57</v>
      </c>
      <c r="J28" s="89">
        <v>3</v>
      </c>
      <c r="K28" s="89">
        <v>23.57</v>
      </c>
      <c r="L28" s="90">
        <v>1378.37</v>
      </c>
      <c r="M28" s="48"/>
    </row>
    <row r="29" spans="1:13" s="20" customFormat="1" ht="15" customHeight="1" x14ac:dyDescent="0.2">
      <c r="A29" s="20" t="str">
        <f t="shared" si="0"/>
        <v>Wrangell</v>
      </c>
      <c r="B29" s="86">
        <v>100522</v>
      </c>
      <c r="C29" s="87" t="s">
        <v>95</v>
      </c>
      <c r="D29" s="86">
        <v>6</v>
      </c>
      <c r="E29" s="88">
        <v>42332</v>
      </c>
      <c r="F29" s="88">
        <v>43404</v>
      </c>
      <c r="G29" s="20" t="s">
        <v>78</v>
      </c>
      <c r="H29" s="93" t="s">
        <v>94</v>
      </c>
      <c r="I29" s="89">
        <v>559.47</v>
      </c>
      <c r="J29" s="89">
        <v>488.49</v>
      </c>
      <c r="K29" s="89">
        <v>70.98</v>
      </c>
      <c r="L29" s="90">
        <v>2134.15</v>
      </c>
      <c r="M29" s="48"/>
    </row>
    <row r="30" spans="1:13" s="20" customFormat="1" ht="15" customHeight="1" x14ac:dyDescent="0.2">
      <c r="A30" s="20" t="str">
        <f t="shared" si="0"/>
        <v>Wrangell</v>
      </c>
      <c r="B30" s="86">
        <v>100522</v>
      </c>
      <c r="C30" s="87" t="s">
        <v>146</v>
      </c>
      <c r="D30" s="86">
        <v>6</v>
      </c>
      <c r="E30" s="88">
        <v>42640</v>
      </c>
      <c r="F30" s="88">
        <v>44865</v>
      </c>
      <c r="G30" s="20" t="s">
        <v>78</v>
      </c>
      <c r="H30" s="93" t="s">
        <v>139</v>
      </c>
      <c r="I30" s="89">
        <v>9802.6299999999992</v>
      </c>
      <c r="J30" s="89">
        <v>0</v>
      </c>
      <c r="K30" s="89">
        <v>9802.6299999999992</v>
      </c>
      <c r="L30" s="90">
        <v>51180.28</v>
      </c>
      <c r="M30" s="48"/>
    </row>
    <row r="31" spans="1:13" s="20" customFormat="1" ht="15" customHeight="1" x14ac:dyDescent="0.2">
      <c r="A31" s="20" t="str">
        <f t="shared" si="0"/>
        <v>Ketchikan</v>
      </c>
      <c r="B31" s="86">
        <v>100552</v>
      </c>
      <c r="C31" s="87" t="s">
        <v>46</v>
      </c>
      <c r="D31" s="86">
        <v>6</v>
      </c>
      <c r="E31" s="88">
        <v>38762</v>
      </c>
      <c r="F31" s="88">
        <v>41943</v>
      </c>
      <c r="G31" s="20" t="s">
        <v>4</v>
      </c>
      <c r="H31" s="62" t="s">
        <v>20</v>
      </c>
      <c r="I31" s="89">
        <v>12854.31</v>
      </c>
      <c r="J31" s="89">
        <v>12854.31</v>
      </c>
      <c r="K31" s="89">
        <v>0</v>
      </c>
      <c r="L31" s="90">
        <v>0</v>
      </c>
      <c r="M31" s="48"/>
    </row>
    <row r="32" spans="1:13" s="20" customFormat="1" ht="15" customHeight="1" x14ac:dyDescent="0.2">
      <c r="A32" s="20" t="str">
        <f t="shared" si="0"/>
        <v>Thorne Bay</v>
      </c>
      <c r="B32" s="86">
        <v>100554</v>
      </c>
      <c r="C32" s="87" t="s">
        <v>50</v>
      </c>
      <c r="D32" s="86">
        <v>13</v>
      </c>
      <c r="E32" s="88">
        <v>41122</v>
      </c>
      <c r="F32" s="88">
        <v>42855</v>
      </c>
      <c r="G32" s="20" t="s">
        <v>2</v>
      </c>
      <c r="H32" s="95" t="s">
        <v>156</v>
      </c>
      <c r="I32" s="89">
        <v>916.1</v>
      </c>
      <c r="J32" s="89">
        <v>885.47</v>
      </c>
      <c r="K32" s="89">
        <v>30.63</v>
      </c>
      <c r="L32" s="90">
        <v>1158.73</v>
      </c>
      <c r="M32" s="48"/>
    </row>
    <row r="33" spans="1:13" s="20" customFormat="1" ht="15" customHeight="1" x14ac:dyDescent="0.2">
      <c r="A33" s="20" t="str">
        <f t="shared" si="0"/>
        <v>Thorne Bay</v>
      </c>
      <c r="B33" s="86">
        <v>100554</v>
      </c>
      <c r="C33" s="87" t="s">
        <v>72</v>
      </c>
      <c r="D33" s="86">
        <v>6</v>
      </c>
      <c r="E33" s="88">
        <v>41947</v>
      </c>
      <c r="F33" s="88">
        <v>43799</v>
      </c>
      <c r="G33" s="21" t="s">
        <v>51</v>
      </c>
      <c r="H33" s="95" t="s">
        <v>70</v>
      </c>
      <c r="I33" s="89">
        <v>1720.63</v>
      </c>
      <c r="J33" s="89">
        <v>1327.38</v>
      </c>
      <c r="K33" s="89">
        <v>393.25</v>
      </c>
      <c r="L33" s="90">
        <v>183264.47</v>
      </c>
      <c r="M33" s="48"/>
    </row>
    <row r="34" spans="1:13" s="20" customFormat="1" ht="15" customHeight="1" x14ac:dyDescent="0.2">
      <c r="A34" s="20" t="str">
        <f t="shared" si="0"/>
        <v>Thorne Bay</v>
      </c>
      <c r="B34" s="86">
        <v>100554</v>
      </c>
      <c r="C34" s="87" t="s">
        <v>173</v>
      </c>
      <c r="D34" s="86" t="s">
        <v>80</v>
      </c>
      <c r="E34" s="88">
        <v>42927</v>
      </c>
      <c r="F34" s="88">
        <v>44135</v>
      </c>
      <c r="G34" s="21" t="s">
        <v>51</v>
      </c>
      <c r="H34" s="95" t="s">
        <v>170</v>
      </c>
      <c r="I34" s="89">
        <v>162.65</v>
      </c>
      <c r="J34" s="89">
        <v>18</v>
      </c>
      <c r="K34" s="89">
        <f>I34-J34</f>
        <v>144.65</v>
      </c>
      <c r="L34" s="90">
        <v>12999.18</v>
      </c>
      <c r="M34" s="48"/>
    </row>
    <row r="35" spans="1:13" s="20" customFormat="1" ht="15" customHeight="1" x14ac:dyDescent="0.2">
      <c r="A35" s="20" t="str">
        <f t="shared" si="0"/>
        <v>Thorne Bay</v>
      </c>
      <c r="B35" s="86">
        <v>100554</v>
      </c>
      <c r="C35" s="87" t="s">
        <v>174</v>
      </c>
      <c r="D35" s="86" t="s">
        <v>80</v>
      </c>
      <c r="E35" s="88">
        <v>42927</v>
      </c>
      <c r="F35" s="88">
        <v>44865</v>
      </c>
      <c r="G35" s="21" t="s">
        <v>51</v>
      </c>
      <c r="H35" s="95" t="s">
        <v>171</v>
      </c>
      <c r="I35" s="89">
        <v>479.23</v>
      </c>
      <c r="J35" s="89">
        <v>0</v>
      </c>
      <c r="K35" s="89">
        <v>479.23</v>
      </c>
      <c r="L35" s="90">
        <v>78249.259999999995</v>
      </c>
      <c r="M35" s="48"/>
    </row>
    <row r="36" spans="1:13" s="20" customFormat="1" ht="15" customHeight="1" x14ac:dyDescent="0.2">
      <c r="A36" s="20" t="str">
        <f t="shared" ref="A36:A52" si="1">LOOKUP(B36,B$66:C$78)</f>
        <v>Thorne Bay</v>
      </c>
      <c r="B36" s="86">
        <v>100554</v>
      </c>
      <c r="C36" s="87" t="s">
        <v>168</v>
      </c>
      <c r="D36" s="86" t="s">
        <v>99</v>
      </c>
      <c r="E36" s="88">
        <v>42906</v>
      </c>
      <c r="F36" s="88">
        <v>43245</v>
      </c>
      <c r="G36" s="21" t="s">
        <v>169</v>
      </c>
      <c r="H36" s="93" t="s">
        <v>197</v>
      </c>
      <c r="I36" s="89">
        <v>19.95</v>
      </c>
      <c r="J36" s="89">
        <v>0</v>
      </c>
      <c r="K36" s="89">
        <v>19.95</v>
      </c>
      <c r="L36" s="90">
        <v>116.62</v>
      </c>
      <c r="M36" s="48"/>
    </row>
    <row r="37" spans="1:13" s="20" customFormat="1" ht="15" customHeight="1" x14ac:dyDescent="0.2">
      <c r="A37" s="20" t="str">
        <f t="shared" si="1"/>
        <v>Thorne Bay</v>
      </c>
      <c r="B37" s="86">
        <v>100554</v>
      </c>
      <c r="C37" s="87" t="s">
        <v>175</v>
      </c>
      <c r="D37" s="86" t="s">
        <v>99</v>
      </c>
      <c r="E37" s="88">
        <v>42921</v>
      </c>
      <c r="F37" s="88">
        <v>43296</v>
      </c>
      <c r="G37" s="21" t="s">
        <v>169</v>
      </c>
      <c r="H37" s="93" t="s">
        <v>196</v>
      </c>
      <c r="I37" s="89">
        <v>10.119999999999999</v>
      </c>
      <c r="J37" s="89">
        <v>0</v>
      </c>
      <c r="K37" s="89">
        <v>10.119999999999999</v>
      </c>
      <c r="L37" s="90">
        <v>547.79999999999995</v>
      </c>
      <c r="M37" s="48"/>
    </row>
    <row r="38" spans="1:13" s="20" customFormat="1" ht="15" customHeight="1" x14ac:dyDescent="0.2">
      <c r="A38" s="20" t="str">
        <f t="shared" si="1"/>
        <v>Thorne Bay</v>
      </c>
      <c r="B38" s="86">
        <v>100554</v>
      </c>
      <c r="C38" s="87" t="s">
        <v>181</v>
      </c>
      <c r="D38" s="86" t="s">
        <v>99</v>
      </c>
      <c r="E38" s="88">
        <v>43004</v>
      </c>
      <c r="F38" s="88">
        <v>43382</v>
      </c>
      <c r="G38" s="21" t="s">
        <v>169</v>
      </c>
      <c r="H38" s="93" t="s">
        <v>195</v>
      </c>
      <c r="I38" s="89">
        <v>9.5500000000000007</v>
      </c>
      <c r="J38" s="89">
        <v>0</v>
      </c>
      <c r="K38" s="89">
        <v>9.5500000000000007</v>
      </c>
      <c r="L38" s="90">
        <v>516.94000000000005</v>
      </c>
      <c r="M38" s="48"/>
    </row>
    <row r="39" spans="1:13" s="20" customFormat="1" ht="15" customHeight="1" x14ac:dyDescent="0.2">
      <c r="A39" s="20" t="str">
        <f t="shared" si="1"/>
        <v>Thorne Bay</v>
      </c>
      <c r="B39" s="86">
        <v>100554</v>
      </c>
      <c r="C39" s="87" t="s">
        <v>47</v>
      </c>
      <c r="D39" s="86" t="s">
        <v>80</v>
      </c>
      <c r="E39" s="88">
        <v>39665</v>
      </c>
      <c r="F39" s="88">
        <v>41820</v>
      </c>
      <c r="G39" s="22" t="s">
        <v>55</v>
      </c>
      <c r="H39" s="96" t="s">
        <v>34</v>
      </c>
      <c r="I39" s="89">
        <v>244</v>
      </c>
      <c r="J39" s="89">
        <v>244</v>
      </c>
      <c r="K39" s="89">
        <v>0</v>
      </c>
      <c r="L39" s="90">
        <v>0</v>
      </c>
      <c r="M39" s="48"/>
    </row>
    <row r="40" spans="1:13" s="20" customFormat="1" ht="15" customHeight="1" x14ac:dyDescent="0.2">
      <c r="A40" s="20" t="str">
        <f t="shared" si="1"/>
        <v>Thorne Bay</v>
      </c>
      <c r="B40" s="86">
        <v>100554</v>
      </c>
      <c r="C40" s="87" t="s">
        <v>48</v>
      </c>
      <c r="D40" s="86" t="s">
        <v>80</v>
      </c>
      <c r="E40" s="88">
        <v>39665</v>
      </c>
      <c r="F40" s="88">
        <v>41820</v>
      </c>
      <c r="G40" s="22" t="s">
        <v>55</v>
      </c>
      <c r="H40" s="96" t="s">
        <v>35</v>
      </c>
      <c r="I40" s="89">
        <v>249</v>
      </c>
      <c r="J40" s="89">
        <v>249</v>
      </c>
      <c r="K40" s="89">
        <v>0</v>
      </c>
      <c r="L40" s="90">
        <v>0</v>
      </c>
      <c r="M40" s="48"/>
    </row>
    <row r="41" spans="1:13" s="20" customFormat="1" ht="15" customHeight="1" x14ac:dyDescent="0.2">
      <c r="A41" s="20" t="str">
        <f t="shared" si="1"/>
        <v>Ketchikan</v>
      </c>
      <c r="B41" s="86">
        <v>100552</v>
      </c>
      <c r="C41" s="87" t="s">
        <v>147</v>
      </c>
      <c r="D41" s="86" t="s">
        <v>80</v>
      </c>
      <c r="E41" s="88">
        <v>42625</v>
      </c>
      <c r="F41" s="88">
        <v>43769</v>
      </c>
      <c r="G41" s="22" t="s">
        <v>141</v>
      </c>
      <c r="H41" s="96" t="s">
        <v>140</v>
      </c>
      <c r="I41" s="89">
        <v>270.60000000000002</v>
      </c>
      <c r="J41" s="89">
        <v>270.60000000000002</v>
      </c>
      <c r="K41" s="89">
        <v>0</v>
      </c>
      <c r="L41" s="90">
        <v>0</v>
      </c>
      <c r="M41" s="48"/>
    </row>
    <row r="42" spans="1:13" s="20" customFormat="1" ht="15" customHeight="1" x14ac:dyDescent="0.2">
      <c r="A42" s="20" t="str">
        <f t="shared" si="1"/>
        <v>Thorne Bay</v>
      </c>
      <c r="B42" s="86">
        <v>100554</v>
      </c>
      <c r="C42" s="87" t="s">
        <v>176</v>
      </c>
      <c r="D42" s="86" t="s">
        <v>99</v>
      </c>
      <c r="E42" s="88">
        <v>42927</v>
      </c>
      <c r="F42" s="88">
        <v>43306</v>
      </c>
      <c r="G42" s="48" t="s">
        <v>177</v>
      </c>
      <c r="H42" s="93" t="s">
        <v>189</v>
      </c>
      <c r="I42" s="89">
        <v>5</v>
      </c>
      <c r="J42" s="89">
        <v>0</v>
      </c>
      <c r="K42" s="89">
        <v>5</v>
      </c>
      <c r="L42" s="90">
        <v>515</v>
      </c>
      <c r="M42" s="48"/>
    </row>
    <row r="43" spans="1:13" s="20" customFormat="1" ht="15" customHeight="1" x14ac:dyDescent="0.2">
      <c r="A43" s="20" t="str">
        <f t="shared" si="1"/>
        <v>Thorne Bay</v>
      </c>
      <c r="B43" s="86">
        <v>100554</v>
      </c>
      <c r="C43" s="87" t="s">
        <v>73</v>
      </c>
      <c r="D43" s="86" t="s">
        <v>80</v>
      </c>
      <c r="E43" s="88">
        <v>42024</v>
      </c>
      <c r="F43" s="88">
        <v>42758</v>
      </c>
      <c r="G43" s="24" t="s">
        <v>40</v>
      </c>
      <c r="H43" s="100" t="s">
        <v>74</v>
      </c>
      <c r="I43" s="89">
        <v>198</v>
      </c>
      <c r="J43" s="89">
        <v>198</v>
      </c>
      <c r="K43" s="89">
        <v>0</v>
      </c>
      <c r="L43" s="90">
        <v>0</v>
      </c>
      <c r="M43" s="48"/>
    </row>
    <row r="44" spans="1:13" s="20" customFormat="1" ht="15" customHeight="1" x14ac:dyDescent="0.2">
      <c r="A44" s="20" t="str">
        <f t="shared" si="1"/>
        <v>Thorne Bay</v>
      </c>
      <c r="B44" s="86">
        <v>100554</v>
      </c>
      <c r="C44" s="87" t="s">
        <v>182</v>
      </c>
      <c r="D44" s="86">
        <v>4</v>
      </c>
      <c r="E44" s="88">
        <v>42990</v>
      </c>
      <c r="F44" s="88">
        <v>45291</v>
      </c>
      <c r="G44" s="56" t="s">
        <v>178</v>
      </c>
      <c r="H44" s="101" t="s">
        <v>179</v>
      </c>
      <c r="I44" s="89">
        <v>30008.12</v>
      </c>
      <c r="J44" s="89">
        <v>0</v>
      </c>
      <c r="K44" s="89">
        <v>30008.12</v>
      </c>
      <c r="L44" s="90">
        <v>921777.92</v>
      </c>
      <c r="M44" s="48"/>
    </row>
    <row r="45" spans="1:13" s="20" customFormat="1" ht="15" customHeight="1" x14ac:dyDescent="0.2">
      <c r="A45" s="20" t="str">
        <f t="shared" si="1"/>
        <v>Sitka</v>
      </c>
      <c r="B45" s="86">
        <v>100531</v>
      </c>
      <c r="C45" s="87" t="s">
        <v>92</v>
      </c>
      <c r="D45" s="86" t="s">
        <v>80</v>
      </c>
      <c r="E45" s="88">
        <v>42283</v>
      </c>
      <c r="F45" s="88">
        <v>44135</v>
      </c>
      <c r="G45" s="56" t="s">
        <v>90</v>
      </c>
      <c r="H45" s="101" t="s">
        <v>91</v>
      </c>
      <c r="I45" s="89">
        <v>29.34</v>
      </c>
      <c r="J45" s="89">
        <v>11.74</v>
      </c>
      <c r="K45" s="89">
        <v>17.600000000000001</v>
      </c>
      <c r="L45" s="90">
        <v>143.80000000000001</v>
      </c>
      <c r="M45" s="48"/>
    </row>
    <row r="46" spans="1:13" s="20" customFormat="1" ht="15" customHeight="1" x14ac:dyDescent="0.2">
      <c r="A46" s="20" t="str">
        <f t="shared" si="1"/>
        <v>Sitka</v>
      </c>
      <c r="B46" s="86">
        <v>100531</v>
      </c>
      <c r="C46" s="87" t="s">
        <v>93</v>
      </c>
      <c r="D46" s="86" t="s">
        <v>80</v>
      </c>
      <c r="E46" s="88">
        <v>42283</v>
      </c>
      <c r="F46" s="88">
        <v>44135</v>
      </c>
      <c r="G46" s="57" t="s">
        <v>52</v>
      </c>
      <c r="H46" s="62" t="s">
        <v>155</v>
      </c>
      <c r="I46" s="89">
        <v>94.66</v>
      </c>
      <c r="J46" s="89">
        <v>9.58</v>
      </c>
      <c r="K46" s="89">
        <v>85.08</v>
      </c>
      <c r="L46" s="90">
        <v>2048.15</v>
      </c>
      <c r="M46" s="48"/>
    </row>
    <row r="47" spans="1:13" s="20" customFormat="1" ht="15" customHeight="1" x14ac:dyDescent="0.2">
      <c r="A47" s="20" t="str">
        <f t="shared" si="1"/>
        <v>Thorne Bay</v>
      </c>
      <c r="B47" s="86">
        <v>100554</v>
      </c>
      <c r="C47" s="87" t="s">
        <v>186</v>
      </c>
      <c r="D47" s="86">
        <v>13</v>
      </c>
      <c r="E47" s="88">
        <v>41905</v>
      </c>
      <c r="F47" s="88">
        <v>45565</v>
      </c>
      <c r="G47" s="20" t="s">
        <v>19</v>
      </c>
      <c r="H47" s="62" t="s">
        <v>66</v>
      </c>
      <c r="I47" s="89">
        <v>85929.4</v>
      </c>
      <c r="J47" s="89">
        <v>65985.13</v>
      </c>
      <c r="K47" s="89">
        <f>I47-J47</f>
        <v>19944.26999999999</v>
      </c>
      <c r="L47" s="90">
        <v>1724095.89</v>
      </c>
      <c r="M47" s="48"/>
    </row>
    <row r="48" spans="1:13" s="20" customFormat="1" ht="15" customHeight="1" x14ac:dyDescent="0.2">
      <c r="A48" s="20" t="str">
        <f t="shared" si="1"/>
        <v>Thorne Bay</v>
      </c>
      <c r="B48" s="86">
        <v>100554</v>
      </c>
      <c r="C48" s="87" t="s">
        <v>89</v>
      </c>
      <c r="D48" s="86">
        <v>6</v>
      </c>
      <c r="E48" s="88">
        <v>42269</v>
      </c>
      <c r="F48" s="88">
        <v>44500</v>
      </c>
      <c r="G48" s="20" t="s">
        <v>19</v>
      </c>
      <c r="H48" s="93" t="s">
        <v>87</v>
      </c>
      <c r="I48" s="89">
        <v>10496.73</v>
      </c>
      <c r="J48" s="89">
        <v>10494.97</v>
      </c>
      <c r="K48" s="89">
        <v>1.76</v>
      </c>
      <c r="L48" s="90">
        <v>5.07</v>
      </c>
      <c r="M48" s="48"/>
    </row>
    <row r="49" spans="1:13" s="20" customFormat="1" ht="15" customHeight="1" x14ac:dyDescent="0.2">
      <c r="A49" s="20" t="str">
        <f t="shared" si="1"/>
        <v>Thorne Bay</v>
      </c>
      <c r="B49" s="86">
        <v>100554</v>
      </c>
      <c r="C49" s="87" t="s">
        <v>49</v>
      </c>
      <c r="D49" s="86">
        <v>6</v>
      </c>
      <c r="E49" s="88">
        <v>40448</v>
      </c>
      <c r="F49" s="88">
        <v>42308</v>
      </c>
      <c r="G49" s="20" t="s">
        <v>19</v>
      </c>
      <c r="H49" s="62" t="s">
        <v>41</v>
      </c>
      <c r="I49" s="89">
        <v>31842.73</v>
      </c>
      <c r="J49" s="89">
        <v>31842.73</v>
      </c>
      <c r="K49" s="89">
        <v>0</v>
      </c>
      <c r="L49" s="90">
        <v>0</v>
      </c>
      <c r="M49" s="48"/>
    </row>
    <row r="50" spans="1:13" s="20" customFormat="1" ht="15.6" customHeight="1" x14ac:dyDescent="0.2">
      <c r="A50" s="20" t="str">
        <f t="shared" si="1"/>
        <v>Thorne Bay</v>
      </c>
      <c r="B50" s="86">
        <v>100554</v>
      </c>
      <c r="C50" s="87" t="s">
        <v>105</v>
      </c>
      <c r="D50" s="86">
        <v>6</v>
      </c>
      <c r="E50" s="88">
        <v>42514</v>
      </c>
      <c r="F50" s="88">
        <v>44135</v>
      </c>
      <c r="G50" s="20" t="s">
        <v>103</v>
      </c>
      <c r="H50" s="62" t="s">
        <v>104</v>
      </c>
      <c r="I50" s="89">
        <v>936.27</v>
      </c>
      <c r="J50" s="89">
        <v>640.05999999999995</v>
      </c>
      <c r="K50" s="89">
        <v>296.20999999999998</v>
      </c>
      <c r="L50" s="90">
        <v>36754.03</v>
      </c>
      <c r="M50" s="48"/>
    </row>
    <row r="51" spans="1:13" s="20" customFormat="1" ht="15.6" customHeight="1" x14ac:dyDescent="0.2">
      <c r="A51" s="20" t="str">
        <f t="shared" si="1"/>
        <v>Thorne Bay</v>
      </c>
      <c r="B51" s="86">
        <v>100554</v>
      </c>
      <c r="C51" s="87" t="s">
        <v>129</v>
      </c>
      <c r="D51" s="86" t="s">
        <v>80</v>
      </c>
      <c r="E51" s="88">
        <v>42563</v>
      </c>
      <c r="F51" s="88">
        <v>43404</v>
      </c>
      <c r="G51" s="20" t="s">
        <v>103</v>
      </c>
      <c r="H51" s="62" t="s">
        <v>157</v>
      </c>
      <c r="I51" s="89">
        <v>168.92</v>
      </c>
      <c r="J51" s="89">
        <v>0</v>
      </c>
      <c r="K51" s="89">
        <v>168.92</v>
      </c>
      <c r="L51" s="90">
        <v>38511.53</v>
      </c>
      <c r="M51" s="48"/>
    </row>
    <row r="52" spans="1:13" s="20" customFormat="1" ht="15.6" customHeight="1" x14ac:dyDescent="0.2">
      <c r="A52" s="20" t="str">
        <f t="shared" si="1"/>
        <v>Thorne Bay</v>
      </c>
      <c r="B52" s="86">
        <v>100554</v>
      </c>
      <c r="C52" s="87" t="s">
        <v>130</v>
      </c>
      <c r="D52" s="86" t="s">
        <v>99</v>
      </c>
      <c r="E52" s="88">
        <v>42612</v>
      </c>
      <c r="F52" s="88">
        <v>42983</v>
      </c>
      <c r="G52" s="20" t="s">
        <v>75</v>
      </c>
      <c r="H52" s="62" t="s">
        <v>188</v>
      </c>
      <c r="I52" s="89">
        <v>2.52</v>
      </c>
      <c r="J52" s="89">
        <v>2.52</v>
      </c>
      <c r="K52" s="89">
        <v>0</v>
      </c>
      <c r="L52" s="90">
        <v>0</v>
      </c>
      <c r="M52" s="48"/>
    </row>
    <row r="53" spans="1:13" s="22" customFormat="1" x14ac:dyDescent="0.2">
      <c r="A53" s="20"/>
      <c r="H53" s="102"/>
    </row>
    <row r="54" spans="1:13" s="20" customFormat="1" ht="21.75" customHeight="1" x14ac:dyDescent="0.2">
      <c r="A54" s="62"/>
      <c r="B54" s="45" t="s">
        <v>158</v>
      </c>
      <c r="C54" s="69">
        <f>COUNTIF($K$4:$K$52,"&gt;=0")</f>
        <v>49</v>
      </c>
      <c r="D54" s="70"/>
      <c r="E54" s="70"/>
      <c r="F54" s="70"/>
      <c r="G54" s="71" t="s">
        <v>159</v>
      </c>
      <c r="H54" s="66">
        <f>COUNTIF($K$4:$K$52,"&gt;0")</f>
        <v>34</v>
      </c>
      <c r="I54" s="45">
        <f>SUM(I4:I52)</f>
        <v>245558.63999999998</v>
      </c>
      <c r="J54" s="45">
        <f>SUM(J4:J52)</f>
        <v>171920.93</v>
      </c>
      <c r="K54" s="45">
        <f>SUM(K4:K52)</f>
        <v>73637.709999999977</v>
      </c>
      <c r="L54" s="46">
        <f>SUM(L4:L52)</f>
        <v>3835155.0299999993</v>
      </c>
    </row>
    <row r="55" spans="1:13" s="22" customFormat="1" ht="15" customHeight="1" x14ac:dyDescent="0.2">
      <c r="A55" s="20"/>
      <c r="B55" s="25"/>
      <c r="C55" s="26"/>
      <c r="D55" s="26"/>
      <c r="E55" s="25"/>
      <c r="F55" s="27"/>
      <c r="H55" s="96"/>
      <c r="I55" s="30"/>
      <c r="J55" s="30"/>
      <c r="K55" s="30"/>
      <c r="L55" s="28"/>
    </row>
    <row r="56" spans="1:13" s="31" customFormat="1" ht="30" customHeight="1" x14ac:dyDescent="0.2">
      <c r="A56" s="16"/>
      <c r="B56" s="10"/>
      <c r="C56" s="10"/>
      <c r="D56" s="10"/>
      <c r="E56" s="10"/>
      <c r="F56" s="10"/>
      <c r="G56" s="19" t="s">
        <v>122</v>
      </c>
      <c r="H56" s="62"/>
      <c r="I56" s="20"/>
      <c r="J56" s="20"/>
      <c r="K56" s="20"/>
      <c r="L56" s="20"/>
    </row>
    <row r="57" spans="1:13" s="20" customFormat="1" ht="15" customHeight="1" x14ac:dyDescent="0.2">
      <c r="B57" s="32"/>
      <c r="C57" s="33"/>
      <c r="D57" s="33"/>
      <c r="E57" s="34"/>
      <c r="F57" s="34"/>
      <c r="G57" s="35"/>
      <c r="H57" s="103"/>
      <c r="I57" s="36"/>
      <c r="J57" s="36"/>
      <c r="K57" s="36"/>
      <c r="L57" s="37"/>
    </row>
    <row r="58" spans="1:13" s="20" customFormat="1" ht="15" customHeight="1" x14ac:dyDescent="0.2">
      <c r="A58" s="20" t="str">
        <f>LOOKUP(B58,B$66:C$78)</f>
        <v>Seward</v>
      </c>
      <c r="B58" s="50">
        <v>100430</v>
      </c>
      <c r="C58" s="51" t="s">
        <v>38</v>
      </c>
      <c r="D58" s="50" t="s">
        <v>80</v>
      </c>
      <c r="E58" s="52">
        <v>40105</v>
      </c>
      <c r="F58" s="52">
        <v>43797</v>
      </c>
      <c r="G58" s="24" t="s">
        <v>39</v>
      </c>
      <c r="H58" s="100" t="s">
        <v>62</v>
      </c>
      <c r="I58" s="83">
        <v>138.5</v>
      </c>
      <c r="J58" s="83">
        <v>58</v>
      </c>
      <c r="K58" s="83">
        <f>I58-J58</f>
        <v>80.5</v>
      </c>
      <c r="L58" s="84">
        <v>805</v>
      </c>
    </row>
    <row r="59" spans="1:13" s="20" customFormat="1" ht="15" customHeight="1" x14ac:dyDescent="0.2">
      <c r="A59" s="20" t="str">
        <f>LOOKUP(B59,B$66:C$78)</f>
        <v>Seward</v>
      </c>
      <c r="B59" s="50">
        <v>100430</v>
      </c>
      <c r="C59" s="51" t="s">
        <v>164</v>
      </c>
      <c r="D59" s="50">
        <v>4</v>
      </c>
      <c r="E59" s="52">
        <v>42863</v>
      </c>
      <c r="F59" s="52">
        <v>43228</v>
      </c>
      <c r="G59" s="24" t="s">
        <v>165</v>
      </c>
      <c r="H59" s="100" t="s">
        <v>194</v>
      </c>
      <c r="I59" s="53">
        <v>203.5</v>
      </c>
      <c r="J59" s="53">
        <v>22.5</v>
      </c>
      <c r="K59" s="53">
        <f t="shared" ref="K59" si="2">I59-J59</f>
        <v>181</v>
      </c>
      <c r="L59" s="54">
        <v>15222.1</v>
      </c>
    </row>
    <row r="60" spans="1:13" s="20" customFormat="1" ht="15" customHeight="1" x14ac:dyDescent="0.2">
      <c r="A60" s="20" t="str">
        <f>LOOKUP(B60,B$66:C$78)</f>
        <v>Seward</v>
      </c>
      <c r="B60" s="50">
        <v>100430</v>
      </c>
      <c r="C60" s="51" t="s">
        <v>190</v>
      </c>
      <c r="D60" s="50" t="s">
        <v>80</v>
      </c>
      <c r="E60" s="52">
        <v>43069</v>
      </c>
      <c r="F60" s="52">
        <v>43434</v>
      </c>
      <c r="G60" s="24" t="s">
        <v>165</v>
      </c>
      <c r="H60" s="100" t="s">
        <v>191</v>
      </c>
      <c r="I60" s="53">
        <v>117</v>
      </c>
      <c r="J60" s="53">
        <v>0</v>
      </c>
      <c r="K60" s="53">
        <f t="shared" ref="K60" si="3">I60-J60</f>
        <v>117</v>
      </c>
      <c r="L60" s="54">
        <v>12168</v>
      </c>
    </row>
    <row r="61" spans="1:13" s="20" customFormat="1" ht="15" customHeight="1" x14ac:dyDescent="0.2">
      <c r="A61" s="20" t="str">
        <f>LOOKUP(B61,B$66:C$78)</f>
        <v>Seward</v>
      </c>
      <c r="B61" s="50">
        <v>100430</v>
      </c>
      <c r="C61" s="51" t="s">
        <v>192</v>
      </c>
      <c r="D61" s="50" t="s">
        <v>80</v>
      </c>
      <c r="E61" s="52">
        <v>43075</v>
      </c>
      <c r="F61" s="52">
        <v>43440</v>
      </c>
      <c r="G61" s="24" t="s">
        <v>165</v>
      </c>
      <c r="H61" s="100" t="s">
        <v>193</v>
      </c>
      <c r="I61" s="53">
        <v>211.5</v>
      </c>
      <c r="J61" s="53">
        <v>0</v>
      </c>
      <c r="K61" s="53">
        <f t="shared" ref="K61" si="4">I61-J61</f>
        <v>211.5</v>
      </c>
      <c r="L61" s="54">
        <v>30967.83</v>
      </c>
    </row>
    <row r="62" spans="1:13" s="20" customFormat="1" ht="15" customHeight="1" x14ac:dyDescent="0.2">
      <c r="B62" s="38"/>
      <c r="C62" s="39"/>
      <c r="D62" s="39"/>
      <c r="E62" s="40"/>
      <c r="F62" s="40"/>
      <c r="G62" s="41"/>
      <c r="H62" s="104"/>
      <c r="I62" s="42"/>
      <c r="J62" s="42"/>
      <c r="K62" s="42"/>
      <c r="L62" s="43"/>
    </row>
    <row r="63" spans="1:13" s="62" customFormat="1" ht="21.4" customHeight="1" x14ac:dyDescent="0.2">
      <c r="B63" s="45" t="s">
        <v>160</v>
      </c>
      <c r="C63" s="66">
        <f>COUNTIF($K$58:$K$62,"&gt;=0")</f>
        <v>4</v>
      </c>
      <c r="D63" s="72"/>
      <c r="E63" s="70"/>
      <c r="F63" s="70"/>
      <c r="G63" s="71" t="s">
        <v>161</v>
      </c>
      <c r="H63" s="66">
        <f>COUNTIF($K$58:$K$62,"&gt;0")</f>
        <v>4</v>
      </c>
      <c r="I63" s="45">
        <f>SUM(I58:I62)</f>
        <v>670.5</v>
      </c>
      <c r="J63" s="45">
        <f>SUM(J58:J62)</f>
        <v>80.5</v>
      </c>
      <c r="K63" s="45">
        <f>SUM(K58:K62)</f>
        <v>590</v>
      </c>
      <c r="L63" s="46">
        <f>SUM(L58:L62)</f>
        <v>59162.93</v>
      </c>
    </row>
    <row r="64" spans="1:13" s="4" customFormat="1" ht="30" customHeight="1" x14ac:dyDescent="0.25">
      <c r="B64" s="5"/>
      <c r="C64" s="5"/>
      <c r="D64" s="5"/>
      <c r="E64" s="5"/>
      <c r="F64" s="5"/>
      <c r="G64" s="18" t="s">
        <v>123</v>
      </c>
      <c r="H64" s="105"/>
      <c r="I64" s="15"/>
      <c r="J64" s="15"/>
      <c r="K64" s="15"/>
      <c r="L64" s="15"/>
    </row>
    <row r="65" spans="1:12" s="62" customFormat="1" ht="21.4" customHeight="1" x14ac:dyDescent="0.2">
      <c r="B65" s="45" t="s">
        <v>163</v>
      </c>
      <c r="C65" s="73">
        <f>C54+C63</f>
        <v>53</v>
      </c>
      <c r="D65" s="74"/>
      <c r="E65" s="70"/>
      <c r="F65" s="70"/>
      <c r="G65" s="71" t="s">
        <v>162</v>
      </c>
      <c r="H65" s="66">
        <f>H54+H63</f>
        <v>38</v>
      </c>
      <c r="I65" s="75">
        <f>I54+I63</f>
        <v>246229.13999999998</v>
      </c>
      <c r="J65" s="75">
        <f>J54+J63</f>
        <v>172001.43</v>
      </c>
      <c r="K65" s="75">
        <f>K54+K63</f>
        <v>74227.709999999977</v>
      </c>
      <c r="L65" s="76">
        <f>L54+L63</f>
        <v>3894317.9599999995</v>
      </c>
    </row>
    <row r="66" spans="1:12" s="20" customFormat="1" ht="14.25" customHeight="1" x14ac:dyDescent="0.2">
      <c r="A66" s="62" t="s">
        <v>30</v>
      </c>
      <c r="B66" s="10">
        <v>100410</v>
      </c>
      <c r="C66" s="58" t="s">
        <v>25</v>
      </c>
      <c r="D66" s="58"/>
      <c r="E66" s="62" t="s">
        <v>106</v>
      </c>
      <c r="F66" s="63"/>
      <c r="G66" s="22" t="s">
        <v>79</v>
      </c>
      <c r="H66" s="62"/>
      <c r="I66" s="45">
        <f>SUMIF($G$4:$G$63,"Alaska Musicwood Industries",$I$4:$I$63)</f>
        <v>82.39</v>
      </c>
      <c r="J66" s="45">
        <f>SUMIF($G$4:$G$63,"Alaska Musicwood Industries",$J$4:$J$63)</f>
        <v>68.69</v>
      </c>
      <c r="K66" s="45">
        <f>SUMIF($G$4:$G$63,"Alaska Musicwood Industries",$K$4:$K$63)</f>
        <v>13.7</v>
      </c>
      <c r="L66" s="46">
        <f>SUMIF($G$4:$G$63,"Alaska Musicwood Industries",$L$4:$L$63)</f>
        <v>1388.04</v>
      </c>
    </row>
    <row r="67" spans="1:12" s="20" customFormat="1" ht="14.25" customHeight="1" x14ac:dyDescent="0.2">
      <c r="B67" s="10">
        <v>100420</v>
      </c>
      <c r="C67" s="58" t="s">
        <v>26</v>
      </c>
      <c r="D67" s="58"/>
      <c r="E67" s="44"/>
      <c r="F67" s="44"/>
      <c r="G67" s="22" t="s">
        <v>107</v>
      </c>
      <c r="H67" s="62"/>
      <c r="I67" s="45">
        <f>SUMIF($G$4:$G$63,"Alaska Tonewood LLC",$I$4:$I$63)</f>
        <v>26.53</v>
      </c>
      <c r="J67" s="45">
        <f>SUMIF($G$4:$G$63,"Alaska Tonewood LLC",$J$4:$J$63)</f>
        <v>19.53</v>
      </c>
      <c r="K67" s="45">
        <f>SUMIF($G$4:$G$63,"Alaska Tonewood LLC",$K$4:$K$63)</f>
        <v>7</v>
      </c>
      <c r="L67" s="46">
        <f>SUMIF($G$4:$G$63,"Alaska Tonewood LLC",$L$4:$L$63)</f>
        <v>378.91</v>
      </c>
    </row>
    <row r="68" spans="1:12" s="20" customFormat="1" ht="14.25" customHeight="1" x14ac:dyDescent="0.2">
      <c r="B68" s="10">
        <v>100430</v>
      </c>
      <c r="C68" s="58" t="s">
        <v>15</v>
      </c>
      <c r="D68" s="58"/>
      <c r="E68" s="44"/>
      <c r="F68" s="44"/>
      <c r="G68" s="22" t="s">
        <v>5</v>
      </c>
      <c r="H68" s="62"/>
      <c r="I68" s="45">
        <f t="array" ref="I68">SUMIF($G$4:$G$63,"Alcan Forest Products LLP",$I$4:$I$63)</f>
        <v>44952.880000000005</v>
      </c>
      <c r="J68" s="45">
        <f t="array" ref="J68">SUMIF($G$4:$G$63,"Alcan Forest Products LLP",$J$4:$J$63)</f>
        <v>38177.429999999993</v>
      </c>
      <c r="K68" s="45">
        <f t="array" ref="K68">SUMIF($G$4:$G$63,"Alcan Forest Products LLP",$K$4:$K$63)</f>
        <v>6775.45</v>
      </c>
      <c r="L68" s="46">
        <f t="array" ref="L68">SUMIF($G$4:$G$63,"Alcan Forest Products LLP",$L$4:$L$63)</f>
        <v>271599.25</v>
      </c>
    </row>
    <row r="69" spans="1:12" s="20" customFormat="1" ht="14.25" customHeight="1" x14ac:dyDescent="0.2">
      <c r="B69" s="10">
        <v>100521</v>
      </c>
      <c r="C69" s="58" t="s">
        <v>13</v>
      </c>
      <c r="D69" s="58"/>
      <c r="E69" s="44"/>
      <c r="F69" s="44"/>
      <c r="G69" s="22" t="s">
        <v>84</v>
      </c>
      <c r="H69" s="62"/>
      <c r="I69" s="45">
        <f>SUMIF($G$4:$G$63,"Alcan Timber Inc",$I$4:$I$63)</f>
        <v>3911</v>
      </c>
      <c r="J69" s="45">
        <f>SUMIF($G$4:$G$63,"Alcan Timber Inc",$J$4:$J$63)</f>
        <v>0</v>
      </c>
      <c r="K69" s="45">
        <f>SUMIF($G$4:$G$63,"Alcan Timber Inc",$K$4:$K$63)</f>
        <v>3911</v>
      </c>
      <c r="L69" s="46">
        <f>SUMIF($G$4:$G$63,"Alcan Timber Inc",$L$4:$L$63)</f>
        <v>442529.89</v>
      </c>
    </row>
    <row r="70" spans="1:12" s="20" customFormat="1" ht="14.25" customHeight="1" x14ac:dyDescent="0.2">
      <c r="B70" s="10">
        <v>100522</v>
      </c>
      <c r="C70" s="58" t="s">
        <v>14</v>
      </c>
      <c r="D70" s="58"/>
      <c r="E70" s="44"/>
      <c r="F70" s="44"/>
      <c r="G70" s="22" t="s">
        <v>76</v>
      </c>
      <c r="H70" s="62"/>
      <c r="I70" s="45">
        <f>SUMIF($G$4:$G$63,"Amalgamated Minerals Int Inc",$I$4:$I$63)</f>
        <v>0</v>
      </c>
      <c r="J70" s="45">
        <f>SUMIF($G$4:$G$63,"Amalgamated Minerals Int Inc",$J$4:$J$63)</f>
        <v>0</v>
      </c>
      <c r="K70" s="45">
        <f>SUMIF($G$4:$G$63,"Amalgamated Minerals Int Inc",$K$4:$K$63)</f>
        <v>0</v>
      </c>
      <c r="L70" s="46">
        <f>SUMIF($G$4:$G$63,"Amalgamated Minerals Int Inc",$L$4:$L$63)</f>
        <v>0</v>
      </c>
    </row>
    <row r="71" spans="1:12" s="20" customFormat="1" ht="14.25" customHeight="1" x14ac:dyDescent="0.2">
      <c r="B71" s="10">
        <v>100531</v>
      </c>
      <c r="C71" s="58" t="s">
        <v>27</v>
      </c>
      <c r="D71" s="58"/>
      <c r="E71" s="44"/>
      <c r="F71" s="44"/>
      <c r="G71" s="22" t="s">
        <v>165</v>
      </c>
      <c r="H71" s="62"/>
      <c r="I71" s="45">
        <f>SUMIF($G$4:$G$63,"Andrews and Sons LLC",$I$4:$I$63)</f>
        <v>532</v>
      </c>
      <c r="J71" s="45">
        <f>SUMIF($G$4:$G$63,"Andrews and Sons LLC",$J$4:$J$63)</f>
        <v>22.5</v>
      </c>
      <c r="K71" s="45">
        <f>SUMIF($G$4:$G$63,"Andrews and Sons LLC",$K$4:$K$63)</f>
        <v>509.5</v>
      </c>
      <c r="L71" s="46">
        <f>SUMIF($G$4:$G$63,"Andrews and Sons LLC",$L$4:$L$63)</f>
        <v>58357.93</v>
      </c>
    </row>
    <row r="72" spans="1:12" s="20" customFormat="1" ht="14.25" customHeight="1" x14ac:dyDescent="0.2">
      <c r="B72" s="10">
        <v>100532</v>
      </c>
      <c r="C72" s="58" t="s">
        <v>9</v>
      </c>
      <c r="D72" s="58"/>
      <c r="E72" s="44"/>
      <c r="F72" s="44"/>
      <c r="G72" s="22" t="s">
        <v>131</v>
      </c>
      <c r="H72" s="62"/>
      <c r="I72" s="45">
        <f>SUMIF($G$4:$G$63,"Austin Chapman",$I$4:$I$63)</f>
        <v>0</v>
      </c>
      <c r="J72" s="45">
        <f>SUMIF($G$4:$G$63,"Austin Chapman",$J$4:$J$63)</f>
        <v>0</v>
      </c>
      <c r="K72" s="45">
        <f>SUMIF($G$4:$G$63,"Austin Chapman",$K$4:$K$63)</f>
        <v>0</v>
      </c>
      <c r="L72" s="46">
        <f>SUMIF($G$4:$G$63,"Austin Chapman",$L$4:$L$63)</f>
        <v>0</v>
      </c>
    </row>
    <row r="73" spans="1:12" s="20" customFormat="1" ht="14.25" customHeight="1" x14ac:dyDescent="0.2">
      <c r="B73" s="10">
        <v>100533</v>
      </c>
      <c r="C73" s="58" t="s">
        <v>12</v>
      </c>
      <c r="D73" s="58"/>
      <c r="E73" s="44"/>
      <c r="F73" s="44"/>
      <c r="G73" s="22" t="s">
        <v>132</v>
      </c>
      <c r="H73" s="62"/>
      <c r="I73" s="45">
        <f t="array" ref="I73">SUMIF($G$4:$G$63,"Bay Area Inc.",$I$4:$I$63)</f>
        <v>0</v>
      </c>
      <c r="J73" s="45">
        <f t="array" ref="J73">SUMIF($G$4:$G$63,"Bay Area Inc.",$J$4:$J$63)</f>
        <v>0</v>
      </c>
      <c r="K73" s="45">
        <f t="array" ref="K73">SUMIF($G$4:$G$63,"Bay Area Inc.",$K$4:$K$63)</f>
        <v>0</v>
      </c>
      <c r="L73" s="46">
        <f t="array" ref="L73">SUMIF($G$4:$G$63,"Bay Area Inc.",$L$4:$L$63)</f>
        <v>0</v>
      </c>
    </row>
    <row r="74" spans="1:12" s="20" customFormat="1" ht="14.25" customHeight="1" x14ac:dyDescent="0.2">
      <c r="B74" s="10">
        <v>100534</v>
      </c>
      <c r="C74" s="58" t="s">
        <v>28</v>
      </c>
      <c r="D74" s="58"/>
      <c r="E74" s="44"/>
      <c r="F74" s="44"/>
      <c r="G74" s="22" t="s">
        <v>183</v>
      </c>
      <c r="H74" s="62"/>
      <c r="I74" s="45">
        <f>SUMIF($G$4:$G$63,"Brent Cole",$I$4:$I$63)</f>
        <v>0.1</v>
      </c>
      <c r="J74" s="45">
        <f>SUMIF($G$4:$G$63,"Brent Cole",$J$4:$J$63)</f>
        <v>0.1</v>
      </c>
      <c r="K74" s="45">
        <f>SUMIF($G$4:$G$63,"Brent Cole",$K$4:$K$63)</f>
        <v>0</v>
      </c>
      <c r="L74" s="46">
        <f>SUMIF($G$4:$G$63,"Brent Cole",$L$4:$L$63)</f>
        <v>0</v>
      </c>
    </row>
    <row r="75" spans="1:12" s="20" customFormat="1" ht="14.25" customHeight="1" x14ac:dyDescent="0.2">
      <c r="B75" s="10">
        <v>100535</v>
      </c>
      <c r="C75" s="58" t="s">
        <v>7</v>
      </c>
      <c r="D75" s="58"/>
      <c r="E75" s="44"/>
      <c r="F75" s="44"/>
      <c r="G75" s="22" t="s">
        <v>58</v>
      </c>
      <c r="H75" s="62"/>
      <c r="I75" s="45">
        <f>SUMIF($G$4:$G$63,"City &amp; Borough of Sitka",$I$4:$I$63)</f>
        <v>7582</v>
      </c>
      <c r="J75" s="45">
        <f>SUMIF($G$4:$G$63,"City &amp; Borough of Sitka",$J$4:$J$63)</f>
        <v>7582</v>
      </c>
      <c r="K75" s="45">
        <f>SUMIF($G$4:$G$63,"City &amp; Borough of Sitka",$K$4:$K$63)</f>
        <v>0</v>
      </c>
      <c r="L75" s="46">
        <f>SUMIF($G$4:$G$63,"City &amp; Borough of Sitka",$L$4:$L$63)</f>
        <v>0</v>
      </c>
    </row>
    <row r="76" spans="1:12" s="20" customFormat="1" ht="14.25" customHeight="1" x14ac:dyDescent="0.2">
      <c r="B76" s="10">
        <v>100551</v>
      </c>
      <c r="C76" s="58" t="s">
        <v>10</v>
      </c>
      <c r="D76" s="58"/>
      <c r="E76" s="44"/>
      <c r="F76" s="44"/>
      <c r="G76" s="22" t="s">
        <v>135</v>
      </c>
      <c r="H76" s="62"/>
      <c r="I76" s="45">
        <f>SUMIF($G$4:$G$63,"Cornerstone Excavation Serv LLC",$I$4:$I$63)</f>
        <v>49.4</v>
      </c>
      <c r="J76" s="45">
        <f>SUMIF($G$4:$G$63,"Cornerstone Excavation Serv LLC",$J$4:$J$63)</f>
        <v>0</v>
      </c>
      <c r="K76" s="45">
        <f>SUMIF($G$4:$G$63,"Cornerstone Excavation Serv LLC",$K$4:$K$63)</f>
        <v>49.4</v>
      </c>
      <c r="L76" s="46">
        <f>SUMIF($G$4:$G$63,"Cornerstone Excavation Serv LLC",$L$4:$L$63)</f>
        <v>3907.3</v>
      </c>
    </row>
    <row r="77" spans="1:12" s="20" customFormat="1" ht="14.25" customHeight="1" x14ac:dyDescent="0.2">
      <c r="B77" s="10">
        <v>100552</v>
      </c>
      <c r="C77" s="58" t="s">
        <v>11</v>
      </c>
      <c r="D77" s="58"/>
      <c r="E77" s="44"/>
      <c r="F77" s="44"/>
      <c r="G77" s="22" t="s">
        <v>53</v>
      </c>
      <c r="H77" s="62"/>
      <c r="I77" s="45">
        <f t="array" ref="I77">SUMIF($G$4:$G$63,"Daniel Fanning",$I$4:$I$63)</f>
        <v>0</v>
      </c>
      <c r="J77" s="45">
        <f t="array" ref="J77">SUMIF($G$4:$G$63,"Daniel Fanning",$J$4:$J$63)</f>
        <v>0</v>
      </c>
      <c r="K77" s="45">
        <f t="array" ref="K77">SUMIF($G$4:$G$63,"Daniel Fanning",$K$4:$K$63)</f>
        <v>0</v>
      </c>
      <c r="L77" s="46">
        <f t="array" ref="L77">SUMIF($G$4:$G$63,"Daniel Fanning",$L$4:$L$63)</f>
        <v>0</v>
      </c>
    </row>
    <row r="78" spans="1:12" s="20" customFormat="1" ht="14.25" customHeight="1" x14ac:dyDescent="0.2">
      <c r="B78" s="10">
        <v>100554</v>
      </c>
      <c r="C78" s="58" t="s">
        <v>8</v>
      </c>
      <c r="D78" s="58"/>
      <c r="E78" s="44"/>
      <c r="F78" s="44"/>
      <c r="G78" s="22" t="s">
        <v>133</v>
      </c>
      <c r="H78" s="62"/>
      <c r="I78" s="45">
        <f t="array" ref="I78">SUMIF($G$4:$G$63,"David A. Moyer",$I$4:$I$63)</f>
        <v>0</v>
      </c>
      <c r="J78" s="45">
        <f t="array" ref="J78">SUMIF($G$4:$G$63,"David A. Moyer",$J$4:$J$63)</f>
        <v>0</v>
      </c>
      <c r="K78" s="45">
        <f t="array" ref="K78">SUMIF($G$4:$G$63,"David A. Moyer",$K$4:$K$63)</f>
        <v>0</v>
      </c>
      <c r="L78" s="46">
        <f t="array" ref="L78">SUMIF($G$4:$G$63,"David A. Moyer",$L$4:$L$63)</f>
        <v>0</v>
      </c>
    </row>
    <row r="79" spans="1:12" s="20" customFormat="1" ht="14.25" customHeight="1" x14ac:dyDescent="0.2">
      <c r="D79" s="58"/>
      <c r="E79" s="44"/>
      <c r="F79" s="44"/>
      <c r="G79" s="22" t="s">
        <v>100</v>
      </c>
      <c r="H79" s="62"/>
      <c r="I79" s="45">
        <f>SUMIF($G$4:$G$63,"David Lapeyrouse",$I$4:$I$63)</f>
        <v>0</v>
      </c>
      <c r="J79" s="45">
        <f>SUMIF($G$4:$G$63,"David Lapeyrouse",$J$4:$J$63)</f>
        <v>0</v>
      </c>
      <c r="K79" s="45">
        <f>SUMIF($G$4:$G$63,"David Lapeyrouse",$K$4:$K$63)</f>
        <v>0</v>
      </c>
      <c r="L79" s="46">
        <f>SUMIF($G$4:$G$63,"David Lapeyrouse",$L$4:$L$63)</f>
        <v>0</v>
      </c>
    </row>
    <row r="80" spans="1:12" s="20" customFormat="1" ht="14.25" customHeight="1" x14ac:dyDescent="0.2">
      <c r="B80" s="10"/>
      <c r="C80" s="58"/>
      <c r="D80" s="58"/>
      <c r="E80" s="44"/>
      <c r="F80" s="44"/>
      <c r="G80" s="22" t="s">
        <v>37</v>
      </c>
      <c r="H80" s="62"/>
      <c r="I80" s="45">
        <f>SUMIF($G$4:$G$63,"DOT/PF State of Alaska",$I$4:$I$63)</f>
        <v>0</v>
      </c>
      <c r="J80" s="45">
        <f>SUMIF($G$4:$G$63,"DOT/PF State of Alaska",$J$4:$J$63)</f>
        <v>0</v>
      </c>
      <c r="K80" s="45">
        <f>SUMIF($G$4:$G$63,"DOT/PF State of Alaska",$K$4:$K$63)</f>
        <v>0</v>
      </c>
      <c r="L80" s="46">
        <f>SUMIF($G$4:$G$63,"DOT/PF State of Alaska",$L$4:$L$63)</f>
        <v>0</v>
      </c>
    </row>
    <row r="81" spans="2:12" s="20" customFormat="1" ht="14.25" customHeight="1" x14ac:dyDescent="0.2">
      <c r="B81" s="10"/>
      <c r="C81" s="58"/>
      <c r="D81" s="58"/>
      <c r="E81" s="44"/>
      <c r="F81" s="44"/>
      <c r="G81" s="22" t="s">
        <v>77</v>
      </c>
      <c r="H81" s="62"/>
      <c r="I81" s="45">
        <f>SUMIF($G$4:$G$63,"Good Faith Lumber LLC",$I$4:$I$63)</f>
        <v>0</v>
      </c>
      <c r="J81" s="45">
        <f>SUMIF($G$4:$G$63,"Good Faith Lumber LLC",$J$4:$J$63)</f>
        <v>0</v>
      </c>
      <c r="K81" s="45">
        <f>SUMIF($G$4:$G$63,"Good Faith Lumber LLC",$K$4:$K$63)</f>
        <v>0</v>
      </c>
      <c r="L81" s="46">
        <f>SUMIF($G$4:$G$63,"Good Faith Lumber LLC",$L$4:$L$63)</f>
        <v>0</v>
      </c>
    </row>
    <row r="82" spans="2:12" s="20" customFormat="1" ht="14.25" customHeight="1" x14ac:dyDescent="0.2">
      <c r="B82" s="10"/>
      <c r="C82" s="58"/>
      <c r="D82" s="58"/>
      <c r="E82" s="44"/>
      <c r="F82" s="44"/>
      <c r="G82" s="22" t="s">
        <v>54</v>
      </c>
      <c r="H82" s="62"/>
      <c r="I82" s="45">
        <f t="array" ref="I82">SUMIF($G$4:$G$63,"Gordon W Chew",$I$4:$I$63)</f>
        <v>18.28</v>
      </c>
      <c r="J82" s="45">
        <f t="array" ref="J82">SUMIF($G$4:$G$63,"Gordon W Chew",$J$4:$J$63)</f>
        <v>10.11</v>
      </c>
      <c r="K82" s="45">
        <f t="array" ref="K82">SUMIF($G$4:$G$63,"Gordon W Chew",$K$4:$K$63)</f>
        <v>8.17</v>
      </c>
      <c r="L82" s="46">
        <f t="array" ref="L82">SUMIF($G$4:$G$63,"Gordon W Chew",$L$4:$L$63)</f>
        <v>432.39</v>
      </c>
    </row>
    <row r="83" spans="2:12" s="20" customFormat="1" ht="14.25" customHeight="1" x14ac:dyDescent="0.2">
      <c r="B83" s="10"/>
      <c r="C83" s="58"/>
      <c r="D83" s="58"/>
      <c r="E83" s="44"/>
      <c r="F83" s="44"/>
      <c r="G83" s="22" t="s">
        <v>17</v>
      </c>
      <c r="H83" s="62"/>
      <c r="I83" s="45">
        <f>SUMIF($G$4:$G$63,"H &amp; L Salvage, Inc",$I$4:$I$63)</f>
        <v>0</v>
      </c>
      <c r="J83" s="45">
        <f t="array" ref="J83">SUMIF($G$4:$G$63,"H &amp; L Salvage, Inc",$J$4:$J$63)</f>
        <v>0</v>
      </c>
      <c r="K83" s="45">
        <f t="array" ref="K83">SUMIF($G$4:$G$63,"H &amp; L Salvage, Inc",$K$4:$K$63)</f>
        <v>0</v>
      </c>
      <c r="L83" s="46">
        <f t="array" ref="L83">SUMIF($G$4:$G$63,"H &amp; L Salvage, Inc",$L$4:$L$63)</f>
        <v>0</v>
      </c>
    </row>
    <row r="84" spans="2:12" s="20" customFormat="1" ht="14.25" customHeight="1" x14ac:dyDescent="0.2">
      <c r="B84" s="10"/>
      <c r="C84" s="58"/>
      <c r="D84" s="58"/>
      <c r="E84" s="44"/>
      <c r="F84" s="44"/>
      <c r="G84" s="23" t="s">
        <v>36</v>
      </c>
      <c r="H84" s="62"/>
      <c r="I84" s="45">
        <f>SUMIF($G$4:$G$63,"Hecla Greens Creek Mining",$I$4:$I$63)</f>
        <v>895.92000000000007</v>
      </c>
      <c r="J84" s="45">
        <f>SUMIF($G$4:$G$63,"Hecla Greens Creek Mining",$J$4:$J$63)</f>
        <v>169.45</v>
      </c>
      <c r="K84" s="45">
        <f>SUMIF($G$4:$G$63,"Hecla Greens Creek Mining",$K$4:$K$63)</f>
        <v>726.47</v>
      </c>
      <c r="L84" s="46">
        <f>SUMIF($G$4:$G$63,"Hecla Greens Creek Mining",$L$4:$L$63)</f>
        <v>10905.06</v>
      </c>
    </row>
    <row r="85" spans="2:12" s="20" customFormat="1" ht="14.25" customHeight="1" x14ac:dyDescent="0.2">
      <c r="B85" s="10"/>
      <c r="C85" s="58"/>
      <c r="D85" s="58"/>
      <c r="E85" s="44"/>
      <c r="F85" s="44"/>
      <c r="G85" s="22" t="s">
        <v>39</v>
      </c>
      <c r="H85" s="62"/>
      <c r="I85" s="45">
        <f>SUMIF($G$4:$G$63,"Henry Drechnowicz",$I$4:$I$63)</f>
        <v>138.5</v>
      </c>
      <c r="J85" s="45">
        <f>SUMIF($G$4:$G$63,"Henry Drechnowicz",$J$4:$J$63)</f>
        <v>58</v>
      </c>
      <c r="K85" s="45">
        <f>SUMIF($G$4:$G$63,"Henry Drechnowicz",$K$4:$K$63)</f>
        <v>80.5</v>
      </c>
      <c r="L85" s="46">
        <f>SUMIF($G$4:$G$63,"Henry Drechnowicz",$L$4:$L$63)</f>
        <v>805</v>
      </c>
    </row>
    <row r="86" spans="2:12" s="20" customFormat="1" ht="14.25" customHeight="1" x14ac:dyDescent="0.2">
      <c r="B86" s="10"/>
      <c r="C86" s="58"/>
      <c r="D86" s="58"/>
      <c r="E86" s="44"/>
      <c r="F86" s="44"/>
      <c r="G86" s="22" t="s">
        <v>6</v>
      </c>
      <c r="H86" s="62"/>
      <c r="I86" s="45">
        <f t="array" ref="I86">SUMIF($G$4:$G$63,"Icy Straits Lumber &amp; Mill",$I$4:$I$63)</f>
        <v>97.85</v>
      </c>
      <c r="J86" s="45">
        <f t="array" ref="J86">SUMIF($G$4:$G$63,"Icy Straits Lumber &amp; Mill",$J$4:$J$63)</f>
        <v>21.71</v>
      </c>
      <c r="K86" s="45">
        <f t="array" ref="K86">SUMIF($G$4:$G$63,"Icy Straits Lumber &amp; Mill",$K$4:$K$63)</f>
        <v>76.14</v>
      </c>
      <c r="L86" s="46">
        <f t="array" ref="L86">SUMIF($G$4:$G$63,"Icy Straits Lumber &amp; Mill",$L$4:$L$63)</f>
        <v>1511.08</v>
      </c>
    </row>
    <row r="87" spans="2:12" s="20" customFormat="1" ht="14.25" customHeight="1" x14ac:dyDescent="0.2">
      <c r="B87" s="10"/>
      <c r="C87" s="10"/>
      <c r="D87" s="10"/>
      <c r="E87" s="44"/>
      <c r="F87" s="44"/>
      <c r="G87" s="22" t="s">
        <v>18</v>
      </c>
      <c r="H87" s="62"/>
      <c r="I87" s="45">
        <f t="array" ref="I87">SUMIF($G$4:$G$63,"James Harrison",$I$4:$I$63)</f>
        <v>0</v>
      </c>
      <c r="J87" s="45">
        <f t="array" ref="J87">SUMIF($G$4:$G$63,"James Harrison",$J$4:$J$63)</f>
        <v>0</v>
      </c>
      <c r="K87" s="45">
        <f t="array" ref="K87">SUMIF($G$4:$G$63,"James Harrison",$K$4:$K$63)</f>
        <v>0</v>
      </c>
      <c r="L87" s="46">
        <f t="array" ref="L87">SUMIF($G$4:$G$63,"James Harrison",$L$4:$L$63)</f>
        <v>0</v>
      </c>
    </row>
    <row r="88" spans="2:12" s="20" customFormat="1" ht="14.25" customHeight="1" x14ac:dyDescent="0.2">
      <c r="B88" s="10"/>
      <c r="C88" s="58"/>
      <c r="D88" s="58"/>
      <c r="E88" s="44"/>
      <c r="F88" s="44"/>
      <c r="G88" s="22" t="s">
        <v>43</v>
      </c>
      <c r="H88" s="62"/>
      <c r="I88" s="45">
        <f>SUMIF($G$4:$G$63,"Jerod Cook",$I$4:$I$63)</f>
        <v>177</v>
      </c>
      <c r="J88" s="45">
        <f>SUMIF($G$4:$G$63,"Jerod Cook",$J$4:$J$63)</f>
        <v>39.5</v>
      </c>
      <c r="K88" s="45">
        <f>SUMIF($G$4:$G$63,"Jerod Cook",$K$4:$K$63)</f>
        <v>137.5</v>
      </c>
      <c r="L88" s="46">
        <f>SUMIF($G$4:$G$63,"Jerod Cook",$L$4:$L$63)</f>
        <v>1056.75</v>
      </c>
    </row>
    <row r="89" spans="2:12" s="20" customFormat="1" ht="14.25" customHeight="1" x14ac:dyDescent="0.2">
      <c r="B89" s="58"/>
      <c r="C89" s="58"/>
      <c r="D89" s="58"/>
      <c r="E89" s="44"/>
      <c r="F89" s="44"/>
      <c r="G89" s="22" t="s">
        <v>61</v>
      </c>
      <c r="H89" s="62"/>
      <c r="I89" s="45">
        <f>SUMIF($G$4:$G$63,"Jerry Baker",$I$4:$I$63)</f>
        <v>0</v>
      </c>
      <c r="J89" s="45">
        <f>SUMIF($G$4:$G$63,"Jerry Baker",$J$4:$J$63)</f>
        <v>0</v>
      </c>
      <c r="K89" s="45">
        <f>SUMIF($G$4:$G$63,"Jerry Baker",$K$4:$K$63)</f>
        <v>0</v>
      </c>
      <c r="L89" s="46">
        <f>SUMIF($G$4:$G$63,"Jerry Baker",$L$4:$L$63)</f>
        <v>0</v>
      </c>
    </row>
    <row r="90" spans="2:12" s="20" customFormat="1" ht="14.25" customHeight="1" x14ac:dyDescent="0.2">
      <c r="B90" s="58"/>
      <c r="C90" s="58"/>
      <c r="D90" s="58"/>
      <c r="E90" s="44"/>
      <c r="F90" s="44"/>
      <c r="G90" s="22" t="s">
        <v>81</v>
      </c>
      <c r="H90" s="62"/>
      <c r="I90" s="45">
        <f>SUMIF($G$4:$G$63,"K &amp; D Lumber",$I$4:$I$63)</f>
        <v>706.79</v>
      </c>
      <c r="J90" s="45">
        <f>SUMIF($G$4:$G$63,"K &amp; D Lumber",$J$4:$J$63)</f>
        <v>300.63</v>
      </c>
      <c r="K90" s="45">
        <f>SUMIF($G$4:$G$63,"K &amp; D Lumber",$K$4:$K$63)</f>
        <v>406.15999999999997</v>
      </c>
      <c r="L90" s="46">
        <f>SUMIF($G$4:$G$63,"K &amp; D Lumber",$L$4:$L$63)</f>
        <v>45612.43</v>
      </c>
    </row>
    <row r="91" spans="2:12" s="20" customFormat="1" ht="14.25" customHeight="1" x14ac:dyDescent="0.2">
      <c r="B91" s="58"/>
      <c r="C91" s="58"/>
      <c r="D91" s="58"/>
      <c r="E91" s="44"/>
      <c r="F91" s="44"/>
      <c r="G91" s="22" t="s">
        <v>97</v>
      </c>
      <c r="H91" s="62"/>
      <c r="I91" s="45">
        <f>SUMIF($G$4:$G$63,"Kootznoowoo Incorporated",$I$4:$I$63)</f>
        <v>15.2</v>
      </c>
      <c r="J91" s="45">
        <f>SUMIF($G$4:$G$63,"Kootznoowoo Incorporated",$J$4:$J$63)</f>
        <v>0</v>
      </c>
      <c r="K91" s="45">
        <f>SUMIF($G$4:$G$63,"Kootznoowoo Incorporated",$K$4:$K$63)</f>
        <v>15.2</v>
      </c>
      <c r="L91" s="46">
        <f>SUMIF($G$4:$G$63,"Kootznoowoo Incorporated",$L$4:$L$63)</f>
        <v>436.74</v>
      </c>
    </row>
    <row r="92" spans="2:12" s="20" customFormat="1" ht="14.25" customHeight="1" x14ac:dyDescent="0.2">
      <c r="B92" s="58"/>
      <c r="C92" s="58"/>
      <c r="D92" s="58"/>
      <c r="E92" s="44"/>
      <c r="F92" s="44"/>
      <c r="G92" s="22" t="s">
        <v>138</v>
      </c>
      <c r="H92" s="62"/>
      <c r="I92" s="45">
        <f>SUMIF($G$4:$G$63,"Luther J. Coby",$I$4:$I$63)</f>
        <v>33.369999999999997</v>
      </c>
      <c r="J92" s="45">
        <f>SUMIF($G$4:$G$63,"Luther J. Coby",$J$4:$J$63)</f>
        <v>9.8000000000000007</v>
      </c>
      <c r="K92" s="45">
        <f>SUMIF($G$4:$G$63,"Luther J. Coby",$K$4:$K$63)</f>
        <v>23.57</v>
      </c>
      <c r="L92" s="46">
        <f>SUMIF($G$4:$G$63,"Luther J. Coby",$L$4:$L$63)</f>
        <v>1378.37</v>
      </c>
    </row>
    <row r="93" spans="2:12" s="20" customFormat="1" ht="14.25" customHeight="1" x14ac:dyDescent="0.2">
      <c r="B93" s="58"/>
      <c r="C93" s="58"/>
      <c r="D93" s="58"/>
      <c r="E93" s="44"/>
      <c r="F93" s="44"/>
      <c r="G93" s="22" t="s">
        <v>78</v>
      </c>
      <c r="H93" s="62"/>
      <c r="I93" s="45">
        <f>SUMIF($G$4:$G$63,"Micheal B Allen Jr",$I$4:$I$63)</f>
        <v>10362.099999999999</v>
      </c>
      <c r="J93" s="45">
        <f>SUMIF($G$4:$G$63,"Micheal B Allen Jr",$J$4:$J$63)</f>
        <v>488.49</v>
      </c>
      <c r="K93" s="45">
        <f>SUMIF($G$4:$G$63,"Micheal B Allen Jr",$K$4:$K$63)</f>
        <v>9873.6099999999988</v>
      </c>
      <c r="L93" s="46">
        <f>SUMIF($G$4:$G$63,"Micheal B Allen Jr",$L$4:$L$63)</f>
        <v>53314.43</v>
      </c>
    </row>
    <row r="94" spans="2:12" s="20" customFormat="1" ht="14.25" customHeight="1" x14ac:dyDescent="0.2">
      <c r="B94" s="58"/>
      <c r="C94" s="58"/>
      <c r="D94" s="58"/>
      <c r="E94" s="44"/>
      <c r="F94" s="44"/>
      <c r="G94" s="22" t="s">
        <v>4</v>
      </c>
      <c r="H94" s="62"/>
      <c r="I94" s="45">
        <f t="array" ref="I94">SUMIF($G$4:$G$63,"Pacific Log &amp; Lumber Ltd",$I$4:$I$63)</f>
        <v>12854.31</v>
      </c>
      <c r="J94" s="45">
        <f t="array" ref="J94">SUMIF($G$4:$G$63,"Pacific Log &amp; Lumber Ltd",$J$4:$J$63)</f>
        <v>12854.31</v>
      </c>
      <c r="K94" s="45">
        <f t="array" ref="K94">SUMIF($G$4:$G$63,"Pacific Log &amp; Lumber Ltd",$K$4:$K$63)</f>
        <v>0</v>
      </c>
      <c r="L94" s="46">
        <f t="array" ref="L94">SUMIF($G$4:$G$63,"Pacific Log &amp; Lumber Ltd",$L$4:$L$63)</f>
        <v>0</v>
      </c>
    </row>
    <row r="95" spans="2:12" s="20" customFormat="1" ht="14.25" customHeight="1" x14ac:dyDescent="0.2">
      <c r="B95" s="58"/>
      <c r="C95" s="58"/>
      <c r="D95" s="58"/>
      <c r="E95" s="44"/>
      <c r="F95" s="44"/>
      <c r="G95" s="22" t="s">
        <v>2</v>
      </c>
      <c r="H95" s="62"/>
      <c r="I95" s="45">
        <f t="array" ref="I95">SUMIF($G$4:$G$63,"Porter Lumber",$I$4:$I$63)</f>
        <v>916.1</v>
      </c>
      <c r="J95" s="45">
        <f t="array" ref="J95">SUMIF($G$4:$G$63,"Porter Lumber",$J$4:$J$63)</f>
        <v>885.47</v>
      </c>
      <c r="K95" s="45">
        <f t="array" ref="K95">SUMIF($G$4:$G$63,"Porter Lumber",$K$4:$K$63)</f>
        <v>30.63</v>
      </c>
      <c r="L95" s="46">
        <f t="array" ref="L95">SUMIF($G$4:$G$63,"Porter Lumber",$L$4:$L$63)</f>
        <v>1158.73</v>
      </c>
    </row>
    <row r="96" spans="2:12" s="20" customFormat="1" ht="14.25" customHeight="1" x14ac:dyDescent="0.2">
      <c r="B96" s="58"/>
      <c r="C96" s="58"/>
      <c r="D96" s="58"/>
      <c r="E96" s="44"/>
      <c r="F96" s="44"/>
      <c r="G96" s="22" t="s">
        <v>51</v>
      </c>
      <c r="H96" s="62"/>
      <c r="I96" s="45">
        <f>SUMIF($G$4:$G$63,"Ralph Dean Blankenship",$I$4:$I$63)</f>
        <v>2362.5100000000002</v>
      </c>
      <c r="J96" s="45">
        <f>SUMIF($G$4:$G$63,"Ralph Dean Blankenship",$J$4:$J$63)</f>
        <v>1345.38</v>
      </c>
      <c r="K96" s="45">
        <f>SUMIF($G$4:$G$63,"Ralph Dean Blankenship",$K$4:$K$63)</f>
        <v>1017.13</v>
      </c>
      <c r="L96" s="46">
        <f>SUMIF($G$4:$G$63,"Ralph Dean Blankenship",$L$4:$L$63)</f>
        <v>274512.90999999997</v>
      </c>
    </row>
    <row r="97" spans="1:12" s="20" customFormat="1" ht="14.25" customHeight="1" x14ac:dyDescent="0.2">
      <c r="B97" s="58"/>
      <c r="C97" s="58"/>
      <c r="D97" s="58"/>
      <c r="E97" s="44"/>
      <c r="F97" s="44"/>
      <c r="G97" s="22" t="s">
        <v>169</v>
      </c>
      <c r="H97" s="62"/>
      <c r="I97" s="45">
        <f>SUMIF($G$4:$G$63,"Ronald S Wensel",$I$4:$I$63)</f>
        <v>39.620000000000005</v>
      </c>
      <c r="J97" s="45">
        <f>SUMIF($G$4:$G$63,"Ronald S Wensel",$J$4:$J$63)</f>
        <v>0</v>
      </c>
      <c r="K97" s="45">
        <f>SUMIF($G$4:$G$63,"Ronald S Wensel",$K$4:$K$63)</f>
        <v>39.620000000000005</v>
      </c>
      <c r="L97" s="46">
        <f>SUMIF($G$4:$G$63,"Ronald S Wensel",$L$4:$L$63)</f>
        <v>1181.3600000000001</v>
      </c>
    </row>
    <row r="98" spans="1:12" s="20" customFormat="1" ht="14.25" customHeight="1" x14ac:dyDescent="0.2">
      <c r="B98" s="58"/>
      <c r="C98" s="58"/>
      <c r="D98" s="58"/>
      <c r="E98" s="44"/>
      <c r="F98" s="44"/>
      <c r="G98" s="22" t="s">
        <v>55</v>
      </c>
      <c r="H98" s="62"/>
      <c r="I98" s="45">
        <f>SUMIF($G$4:$G$63,"Scott Hill",$I$4:$I$63)</f>
        <v>493</v>
      </c>
      <c r="J98" s="45">
        <f>SUMIF($G$4:$G$63,"Scott Hill",$J$4:$J$63)</f>
        <v>493</v>
      </c>
      <c r="K98" s="45">
        <f>SUMIF($G$4:$G$63,"Scott Hill",$K$4:$K$63)</f>
        <v>0</v>
      </c>
      <c r="L98" s="46">
        <f>SUMIF($G$4:$G$63,"Scott Hill",$L$4:$L$63)</f>
        <v>0</v>
      </c>
    </row>
    <row r="99" spans="1:12" s="20" customFormat="1" ht="14.25" customHeight="1" x14ac:dyDescent="0.2">
      <c r="B99" s="58"/>
      <c r="C99" s="58"/>
      <c r="D99" s="58"/>
      <c r="E99" s="44"/>
      <c r="F99" s="44"/>
      <c r="G99" s="22" t="s">
        <v>141</v>
      </c>
      <c r="H99" s="62"/>
      <c r="I99" s="45">
        <f>SUMIF($G$4:$G$63,"Southeast Alaska Power Agency",$I$4:$I$63)</f>
        <v>270.60000000000002</v>
      </c>
      <c r="J99" s="45">
        <f>SUMIF($G$4:$G$63,"Southeast Alaska Power Agency",$J$4:$J$63)</f>
        <v>270.60000000000002</v>
      </c>
      <c r="K99" s="45">
        <f>SUMIF($G$4:$G$63,"Southeast Alaska Power Agency",$K$4:$K$63)</f>
        <v>0</v>
      </c>
      <c r="L99" s="46">
        <f>SUMIF($G$4:$G$63,"Southeast Alaska Power Agency",$L$4:$L$63)</f>
        <v>0</v>
      </c>
    </row>
    <row r="100" spans="1:12" s="20" customFormat="1" ht="14.25" customHeight="1" x14ac:dyDescent="0.2">
      <c r="B100" s="58"/>
      <c r="C100" s="58"/>
      <c r="D100" s="58"/>
      <c r="E100" s="44"/>
      <c r="F100" s="44"/>
      <c r="G100" s="22" t="s">
        <v>177</v>
      </c>
      <c r="H100" s="62"/>
      <c r="I100" s="45">
        <f>SUMIF($G$4:$G$63,"Spencer F Pitcher",$I$4:$I$63)</f>
        <v>5</v>
      </c>
      <c r="J100" s="45">
        <f>SUMIF($G$4:$G$63,"Spencer F Pitcher",$J$4:$J$63)</f>
        <v>0</v>
      </c>
      <c r="K100" s="45">
        <f>SUMIF($G$4:$G$63,"Spencer F Pitcher",$K$4:$K$63)</f>
        <v>5</v>
      </c>
      <c r="L100" s="46">
        <f>SUMIF($G$4:$G$63,"Spencer F Pitcher",$L$4:$L$63)</f>
        <v>515</v>
      </c>
    </row>
    <row r="101" spans="1:12" s="20" customFormat="1" ht="14.25" customHeight="1" x14ac:dyDescent="0.2">
      <c r="B101" s="58"/>
      <c r="C101" s="58"/>
      <c r="D101" s="58"/>
      <c r="E101" s="44"/>
      <c r="F101" s="44"/>
      <c r="G101" s="22" t="s">
        <v>40</v>
      </c>
      <c r="H101" s="62"/>
      <c r="I101" s="45">
        <f>SUMIF($G$4:$G$63,"St. Nick Forest Products",$I$4:$I$63)</f>
        <v>198</v>
      </c>
      <c r="J101" s="45">
        <f>SUMIF($G$4:$G$63,"St. Nick Forest Products",$J$4:$J$63)</f>
        <v>198</v>
      </c>
      <c r="K101" s="45">
        <f>SUMIF($G$4:$G$63,"St. Nick Forest Products",$K$4:$K$63)</f>
        <v>0</v>
      </c>
      <c r="L101" s="46">
        <f>SUMIF($G$4:$G$63,"St. Nick Forest Products",$L$4:$L$63)</f>
        <v>0</v>
      </c>
    </row>
    <row r="102" spans="1:12" s="20" customFormat="1" ht="14.25" customHeight="1" x14ac:dyDescent="0.2">
      <c r="B102" s="58"/>
      <c r="C102" s="58"/>
      <c r="D102" s="58"/>
      <c r="E102" s="44"/>
      <c r="F102" s="44"/>
      <c r="G102" s="22" t="s">
        <v>178</v>
      </c>
      <c r="H102" s="62"/>
      <c r="I102" s="45">
        <f>SUMIF($G$4:$G$63,"State of Alaska",$I$4:$I$63)</f>
        <v>30008.12</v>
      </c>
      <c r="J102" s="45">
        <f>SUMIF($G$4:$G$63,"State of Alaska",$J$4:$J$63)</f>
        <v>0</v>
      </c>
      <c r="K102" s="45">
        <f>SUMIF($G$4:$G$63,"State of Alaska",$K$4:$K$63)</f>
        <v>30008.12</v>
      </c>
      <c r="L102" s="46">
        <f>SUMIF($G$4:$G$63,"State of Alaska",$L$4:$L$63)</f>
        <v>921777.92</v>
      </c>
    </row>
    <row r="103" spans="1:12" s="20" customFormat="1" ht="14.25" customHeight="1" x14ac:dyDescent="0.2">
      <c r="B103" s="58"/>
      <c r="C103" s="58"/>
      <c r="D103" s="58"/>
      <c r="E103" s="44"/>
      <c r="F103" s="44"/>
      <c r="G103" s="22" t="s">
        <v>90</v>
      </c>
      <c r="H103" s="62"/>
      <c r="I103" s="45">
        <f>SUMIF($G$4:$G$63,"T.L.C. Management, LLC",$I$4:$I$63)</f>
        <v>29.34</v>
      </c>
      <c r="J103" s="45">
        <f>SUMIF($G$4:$G$63,"T.L.C. Management, LLC",$J$4:$J$63)</f>
        <v>11.74</v>
      </c>
      <c r="K103" s="45">
        <f>SUMIF($G$4:$G$63,"T.L.C. Management, LLC",$K$4:$K$63)</f>
        <v>17.600000000000001</v>
      </c>
      <c r="L103" s="46">
        <f>SUMIF($G$4:$G$63,"T.L.C. Management, LLC",$L$4:$L$63)</f>
        <v>143.80000000000001</v>
      </c>
    </row>
    <row r="104" spans="1:12" s="20" customFormat="1" ht="14.25" customHeight="1" x14ac:dyDescent="0.2">
      <c r="B104" s="58"/>
      <c r="C104" s="58"/>
      <c r="D104" s="58"/>
      <c r="E104" s="44"/>
      <c r="F104" s="44"/>
      <c r="G104" s="47" t="s">
        <v>52</v>
      </c>
      <c r="H104" s="62"/>
      <c r="I104" s="45">
        <f>SUMIF($G$4:$G$62,"TM Construction, Inc
TM Construction, Inc",$I$4:$I$62)</f>
        <v>94.66</v>
      </c>
      <c r="J104" s="45">
        <f>SUMIF($G$4:$G$62,"TM Construction, Inc
TM Construction, Inc",$J$4:$J$62)</f>
        <v>9.58</v>
      </c>
      <c r="K104" s="45">
        <f>SUMIF($G$4:$G$62,"TM Construction, Inc
TM Construction, Inc",$K$4:$K$62)</f>
        <v>85.08</v>
      </c>
      <c r="L104" s="46">
        <f>SUMIF($G$4:$G$62,"TM Construction, Inc
TM Construction, Inc",$L$4:$L$62)</f>
        <v>2048.15</v>
      </c>
    </row>
    <row r="105" spans="1:12" s="20" customFormat="1" ht="14.25" customHeight="1" x14ac:dyDescent="0.2">
      <c r="B105" s="58"/>
      <c r="C105" s="58"/>
      <c r="D105" s="58"/>
      <c r="E105" s="44"/>
      <c r="F105" s="44"/>
      <c r="G105" s="22" t="s">
        <v>19</v>
      </c>
      <c r="H105" s="62"/>
      <c r="I105" s="45">
        <f t="array" ref="I105">SUMIF($G$4:$G$63,"Viking Lumber Company",$I$4:$I$63)</f>
        <v>128268.85999999999</v>
      </c>
      <c r="J105" s="45">
        <f t="array" ref="J105">SUMIF($G$4:$G$63,"Viking Lumber Company",$J$4:$J$63)</f>
        <v>108322.83</v>
      </c>
      <c r="K105" s="45">
        <f t="array" ref="K105">SUMIF($G$4:$G$63,"Viking Lumber Company",$K$4:$K$63)</f>
        <v>19946.029999999988</v>
      </c>
      <c r="L105" s="46">
        <f t="array" ref="L105">SUMIF($G$4:$G$63,"Viking Lumber Company",$L$4:$L$63)</f>
        <v>1724100.96</v>
      </c>
    </row>
    <row r="106" spans="1:12" s="20" customFormat="1" ht="14.25" customHeight="1" x14ac:dyDescent="0.2">
      <c r="B106" s="58"/>
      <c r="C106" s="58"/>
      <c r="D106" s="58"/>
      <c r="E106" s="44"/>
      <c r="F106" s="44"/>
      <c r="G106" s="22" t="s">
        <v>103</v>
      </c>
      <c r="H106" s="62"/>
      <c r="I106" s="45">
        <f>SUMIF($G$4:$G$63,"Western Gold Cedar Products",$I$4:$I$63)</f>
        <v>1105.19</v>
      </c>
      <c r="J106" s="45">
        <f>SUMIF($G$4:$G$63,"Western Gold Cedar Products",$J$4:$J$63)</f>
        <v>640.05999999999995</v>
      </c>
      <c r="K106" s="45">
        <f>SUMIF($G$4:$G$63,"Western Gold Cedar Products",$K$4:$K$63)</f>
        <v>465.13</v>
      </c>
      <c r="L106" s="46">
        <f>SUMIF($G$4:$G$63,"Western Gold Cedar Products",$L$4:$L$63)</f>
        <v>75265.56</v>
      </c>
    </row>
    <row r="107" spans="1:12" s="20" customFormat="1" ht="14.25" customHeight="1" x14ac:dyDescent="0.2">
      <c r="B107" s="58"/>
      <c r="C107" s="58"/>
      <c r="D107" s="58"/>
      <c r="E107" s="44"/>
      <c r="F107" s="44"/>
      <c r="G107" s="22" t="s">
        <v>75</v>
      </c>
      <c r="H107" s="62"/>
      <c r="I107" s="45">
        <f>SUMIF($G$4:$G$63,"William C Musser",$I$4:$I$63)</f>
        <v>2.52</v>
      </c>
      <c r="J107" s="45">
        <f>SUMIF($G$4:$G$63,"William C Musser",$J$4:$J$63)</f>
        <v>2.52</v>
      </c>
      <c r="K107" s="45">
        <f>SUMIF($G$4:$G$63,"William C Musser",$K$4:$K$63)</f>
        <v>0</v>
      </c>
      <c r="L107" s="46">
        <f>SUMIF($G$4:$G$63,"William C Musser",$L$4:$L$63)</f>
        <v>0</v>
      </c>
    </row>
    <row r="108" spans="1:12" s="20" customFormat="1" ht="14.25" customHeight="1" thickBot="1" x14ac:dyDescent="0.25">
      <c r="B108" s="58"/>
      <c r="C108" s="58"/>
      <c r="D108" s="58"/>
      <c r="E108" s="44"/>
      <c r="F108" s="44"/>
      <c r="G108" s="22"/>
      <c r="H108" s="62"/>
      <c r="I108" s="60"/>
      <c r="J108" s="60"/>
      <c r="K108" s="60"/>
      <c r="L108" s="61"/>
    </row>
    <row r="109" spans="1:12" s="20" customFormat="1" ht="14.25" customHeight="1" x14ac:dyDescent="0.2">
      <c r="B109" s="58"/>
      <c r="C109" s="58"/>
      <c r="D109" s="58"/>
      <c r="E109" s="44"/>
      <c r="F109" s="44"/>
      <c r="G109" s="22"/>
      <c r="H109" s="62"/>
      <c r="I109" s="45"/>
      <c r="J109" s="45"/>
      <c r="K109" s="45"/>
      <c r="L109" s="46"/>
    </row>
    <row r="110" spans="1:12" x14ac:dyDescent="0.2">
      <c r="H110" s="77"/>
      <c r="I110" s="45">
        <f>SUM(I66:I108)</f>
        <v>246229.13999999998</v>
      </c>
      <c r="J110" s="45">
        <f>SUM(J66:J108)</f>
        <v>172001.42999999996</v>
      </c>
      <c r="K110" s="45">
        <f>SUM(K66:K108)</f>
        <v>74227.709999999992</v>
      </c>
      <c r="L110" s="46">
        <f>SUM(L66:L108)</f>
        <v>3894317.9600000004</v>
      </c>
    </row>
    <row r="111" spans="1:12" ht="15.4" customHeight="1" thickBot="1" x14ac:dyDescent="0.25">
      <c r="A111" s="11"/>
      <c r="C111" s="29" t="s">
        <v>152</v>
      </c>
      <c r="D111" s="12"/>
      <c r="E111" s="68" t="s">
        <v>0</v>
      </c>
      <c r="F111" s="81"/>
      <c r="G111" s="65"/>
      <c r="H111" s="64"/>
      <c r="I111" s="55"/>
      <c r="J111" s="55"/>
      <c r="K111" s="55"/>
      <c r="L111" s="55"/>
    </row>
    <row r="112" spans="1:12" s="20" customFormat="1" x14ac:dyDescent="0.2">
      <c r="B112" s="10"/>
      <c r="C112" s="58"/>
      <c r="D112" s="58"/>
      <c r="E112" s="29" t="s">
        <v>108</v>
      </c>
      <c r="F112" s="44"/>
      <c r="G112" s="29"/>
      <c r="H112" s="62"/>
      <c r="I112" s="45">
        <f>SUMIF($B$4:$B$63,"100410",$I$4:$I$63)</f>
        <v>0</v>
      </c>
      <c r="J112" s="45">
        <f>SUMIF($B$4:$B$63,"100410",$J$4:$J$63)</f>
        <v>0</v>
      </c>
      <c r="K112" s="45">
        <f>SUMIF($B$4:$B$63,"100410",$K$4:$K$63)</f>
        <v>0</v>
      </c>
      <c r="L112" s="46">
        <f>SUMIF($B$4:$B$63,"100410",$L$4:$L$63)</f>
        <v>0</v>
      </c>
    </row>
    <row r="113" spans="2:12" s="20" customFormat="1" x14ac:dyDescent="0.2">
      <c r="B113" s="10"/>
      <c r="C113" s="58"/>
      <c r="D113" s="58"/>
      <c r="E113" s="29" t="s">
        <v>109</v>
      </c>
      <c r="F113" s="44"/>
      <c r="G113" s="29"/>
      <c r="H113" s="62"/>
      <c r="I113" s="45">
        <f t="array" ref="I113">SUMIF($B$4:$B$63,"100420",$I$4:$I$63)</f>
        <v>0</v>
      </c>
      <c r="J113" s="45">
        <f t="array" ref="J113">SUMIF($B$4:$B$63,"100420",$J$4:$J$63)</f>
        <v>0</v>
      </c>
      <c r="K113" s="45">
        <f>SUMIF($B$4:$B$63,"100420",$K$4:$K$63)</f>
        <v>0</v>
      </c>
      <c r="L113" s="46">
        <f t="array" ref="L113">SUMIF($B$4:$B$63,"100420",$L$4:$L$63)</f>
        <v>0</v>
      </c>
    </row>
    <row r="114" spans="2:12" s="20" customFormat="1" x14ac:dyDescent="0.2">
      <c r="B114" s="10"/>
      <c r="C114" s="58"/>
      <c r="D114" s="58"/>
      <c r="E114" s="29" t="s">
        <v>110</v>
      </c>
      <c r="F114" s="44"/>
      <c r="G114" s="29"/>
      <c r="H114" s="62"/>
      <c r="I114" s="45">
        <f t="array" ref="I114">SUMIF($B$4:$B$63,"100430",$I$4:$I$63)</f>
        <v>670.5</v>
      </c>
      <c r="J114" s="45">
        <f t="array" ref="J114">SUMIF($B$4:$B$63,"100430",$J$4:$J$63)</f>
        <v>80.5</v>
      </c>
      <c r="K114" s="45">
        <f t="array" ref="K114">SUMIF($B$4:$B$63,"100430",$K$4:$K$63)</f>
        <v>590</v>
      </c>
      <c r="L114" s="46">
        <f t="array" ref="L114">SUMIF($B$4:$B$63,"100430",$L$4:$L$63)</f>
        <v>59162.93</v>
      </c>
    </row>
    <row r="115" spans="2:12" s="20" customFormat="1" x14ac:dyDescent="0.2">
      <c r="B115" s="10"/>
      <c r="C115" s="58"/>
      <c r="D115" s="58"/>
      <c r="E115" s="29"/>
      <c r="F115" s="44"/>
      <c r="G115" s="29"/>
      <c r="H115" s="62"/>
      <c r="I115" s="45"/>
      <c r="J115" s="45"/>
      <c r="K115" s="45"/>
      <c r="L115" s="46"/>
    </row>
    <row r="116" spans="2:12" s="20" customFormat="1" ht="15.75" thickBot="1" x14ac:dyDescent="0.25">
      <c r="B116" s="10"/>
      <c r="C116" s="58"/>
      <c r="D116" s="58"/>
      <c r="E116" s="67" t="s">
        <v>3</v>
      </c>
      <c r="F116" s="82"/>
      <c r="G116" s="66"/>
      <c r="H116" s="62"/>
      <c r="I116" s="45"/>
      <c r="J116" s="45"/>
      <c r="K116" s="45"/>
      <c r="L116" s="46"/>
    </row>
    <row r="117" spans="2:12" s="20" customFormat="1" x14ac:dyDescent="0.2">
      <c r="B117" s="10"/>
      <c r="C117" s="58"/>
      <c r="D117" s="58"/>
      <c r="E117" s="29" t="s">
        <v>111</v>
      </c>
      <c r="F117" s="44"/>
      <c r="G117" s="29"/>
      <c r="H117" s="62"/>
      <c r="I117" s="45">
        <f t="array" ref="I117">SUMIF($B$4:$B$63,"100521",$I$4:$I$63)</f>
        <v>210.37</v>
      </c>
      <c r="J117" s="45">
        <f t="array" ref="J117">SUMIF($B$4:$B$63,"100521",$J$4:$J$63)</f>
        <v>49.3</v>
      </c>
      <c r="K117" s="45">
        <f t="array" ref="K117">SUMIF($B$4:$B$63,"100521",$K$4:$K$63)</f>
        <v>161.07</v>
      </c>
      <c r="L117" s="46">
        <f t="array" ref="L117">SUMIF($B$4:$B$63,"100521",$L$4:$L$63)</f>
        <v>2435.12</v>
      </c>
    </row>
    <row r="118" spans="2:12" s="20" customFormat="1" x14ac:dyDescent="0.2">
      <c r="B118" s="10"/>
      <c r="C118" s="58"/>
      <c r="D118" s="58"/>
      <c r="E118" s="29" t="s">
        <v>112</v>
      </c>
      <c r="F118" s="44"/>
      <c r="G118" s="29"/>
      <c r="H118" s="62"/>
      <c r="I118" s="45">
        <f t="array" ref="I118">SUMIF($B$4:$B$63,"100522",$I$4:$I$63)</f>
        <v>55314.98</v>
      </c>
      <c r="J118" s="45">
        <f t="array" ref="J118">SUMIF($B$4:$B$63,"100522",$J$4:$J$63)</f>
        <v>38665.919999999991</v>
      </c>
      <c r="K118" s="45">
        <f t="array" ref="K118">SUMIF($B$4:$B$63,"100522",$K$4:$K$63)</f>
        <v>16649.059999999998</v>
      </c>
      <c r="L118" s="46">
        <f t="array" ref="L118">SUMIF($B$4:$B$63,"100522",$L$4:$L$63)</f>
        <v>324913.68000000005</v>
      </c>
    </row>
    <row r="119" spans="2:12" s="20" customFormat="1" x14ac:dyDescent="0.2">
      <c r="B119" s="10"/>
      <c r="C119" s="58"/>
      <c r="D119" s="58"/>
      <c r="E119" s="29" t="s">
        <v>113</v>
      </c>
      <c r="F119" s="44"/>
      <c r="G119" s="29"/>
      <c r="H119" s="62"/>
      <c r="I119" s="45">
        <f t="array" ref="I119">SUMIF($B$4:$B$63,"100531",$I$4:$I$63)</f>
        <v>7724.28</v>
      </c>
      <c r="J119" s="45">
        <f t="array" ref="J119">SUMIF($B$4:$B$63,"100531",$J$4:$J$63)</f>
        <v>7613.4299999999994</v>
      </c>
      <c r="K119" s="45">
        <f t="array" ref="K119">SUMIF($B$4:$B$63,"100531",$K$4:$K$63)</f>
        <v>110.85</v>
      </c>
      <c r="L119" s="46">
        <f t="array" ref="L119">SUMIF($B$4:$B$63,"100531",$L$4:$L$63)</f>
        <v>2624.34</v>
      </c>
    </row>
    <row r="120" spans="2:12" s="20" customFormat="1" x14ac:dyDescent="0.2">
      <c r="B120" s="10"/>
      <c r="C120" s="58"/>
      <c r="D120" s="58"/>
      <c r="E120" s="29" t="s">
        <v>114</v>
      </c>
      <c r="F120" s="44"/>
      <c r="G120" s="29"/>
      <c r="H120" s="62"/>
      <c r="I120" s="45">
        <f t="array" ref="I120">SUMIF($B$4:$B$63,"100532",$I$4:$I$63)</f>
        <v>97.85</v>
      </c>
      <c r="J120" s="45">
        <f t="array" ref="J120">SUMIF($B$4:$B$63,"100532",$J$4:$J$63)</f>
        <v>21.71</v>
      </c>
      <c r="K120" s="45">
        <f t="array" ref="K120">SUMIF($B$4:$B$63,"100532",$K$4:$K$63)</f>
        <v>76.14</v>
      </c>
      <c r="L120" s="46">
        <f t="array" ref="L120">SUMIF($B$4:$B$63,"100532",$L$4:$L$63)</f>
        <v>1511.08</v>
      </c>
    </row>
    <row r="121" spans="2:12" s="20" customFormat="1" x14ac:dyDescent="0.2">
      <c r="B121" s="10"/>
      <c r="C121" s="58"/>
      <c r="D121" s="58"/>
      <c r="E121" s="29" t="s">
        <v>115</v>
      </c>
      <c r="F121" s="44"/>
      <c r="G121" s="29"/>
      <c r="H121" s="62"/>
      <c r="I121" s="45">
        <f t="array" ref="I121">SUMIF($B$4:$B$63,"100533",$I$4:$I$63)</f>
        <v>895.92000000000007</v>
      </c>
      <c r="J121" s="45">
        <f t="array" ref="J121">SUMIF($B$4:$B$63,"100533",$J$4:$J$63)</f>
        <v>169.45</v>
      </c>
      <c r="K121" s="45">
        <f>SUMIF($B$4:$B$63,"100533",$K$4:$K$63)</f>
        <v>726.47</v>
      </c>
      <c r="L121" s="46">
        <f t="array" ref="L121">SUMIF($B$4:$B$63,"100533",$L$4:$L$63)</f>
        <v>10905.06</v>
      </c>
    </row>
    <row r="122" spans="2:12" s="20" customFormat="1" x14ac:dyDescent="0.2">
      <c r="B122" s="10"/>
      <c r="C122" s="58"/>
      <c r="D122" s="58"/>
      <c r="E122" s="29" t="s">
        <v>116</v>
      </c>
      <c r="F122" s="44"/>
      <c r="G122" s="29"/>
      <c r="H122" s="62"/>
      <c r="I122" s="45">
        <f>SUMIF($B$4:$B$63,"100534",$I$4:$I$63)</f>
        <v>15.2</v>
      </c>
      <c r="J122" s="45">
        <f>SUMIF($B$4:$B$63,"100534",$J$4:$J$63)</f>
        <v>0</v>
      </c>
      <c r="K122" s="45">
        <f>SUMIF($B$4:$B$63,"100534",$K$4:$K$63)</f>
        <v>15.2</v>
      </c>
      <c r="L122" s="46">
        <f t="array" ref="L122">SUMIF($B$4:$B$63,"100534",$L$4:$L$63)</f>
        <v>436.74</v>
      </c>
    </row>
    <row r="123" spans="2:12" s="20" customFormat="1" x14ac:dyDescent="0.2">
      <c r="B123" s="10"/>
      <c r="C123" s="58"/>
      <c r="D123" s="58"/>
      <c r="E123" s="29" t="s">
        <v>117</v>
      </c>
      <c r="F123" s="44"/>
      <c r="G123" s="29"/>
      <c r="H123" s="62"/>
      <c r="I123" s="45">
        <f t="array" ref="I123">SUMIF($B$4:$B$63,"100535",$I$4:$I$63)</f>
        <v>0</v>
      </c>
      <c r="J123" s="45">
        <f t="array" ref="J123">SUMIF($B$4:$B$63,"100535",$J$4:$J$63)</f>
        <v>0</v>
      </c>
      <c r="K123" s="45">
        <f>SUMIF($B$4:$B$63,"100535",$K$4:$K$63)</f>
        <v>0</v>
      </c>
      <c r="L123" s="46">
        <f t="array" ref="L123">SUMIF($B$4:$B$63,"100535",$L$4:$L$63)</f>
        <v>0</v>
      </c>
    </row>
    <row r="124" spans="2:12" s="20" customFormat="1" x14ac:dyDescent="0.2">
      <c r="B124" s="10"/>
      <c r="C124" s="58"/>
      <c r="D124" s="58"/>
      <c r="E124" s="29" t="s">
        <v>118</v>
      </c>
      <c r="F124" s="44"/>
      <c r="G124" s="29"/>
      <c r="H124" s="62"/>
      <c r="I124" s="45">
        <f t="array" ref="I124">SUMIF($B$4:$B$63,"100551",$I$4:$I$63)</f>
        <v>0.1</v>
      </c>
      <c r="J124" s="45">
        <f t="array" ref="J124">SUMIF($B$4:$B$63,"100551",$J$4:$J$63)</f>
        <v>0.1</v>
      </c>
      <c r="K124" s="45">
        <f t="array" ref="K124">SUMIF($B$4:$B$63,"100551",$K$4:$K$63)</f>
        <v>0</v>
      </c>
      <c r="L124" s="46">
        <f t="array" ref="L124">SUMIF($B$4:$B$63,"100551",$L$4:$L$63)</f>
        <v>0</v>
      </c>
    </row>
    <row r="125" spans="2:12" s="20" customFormat="1" x14ac:dyDescent="0.2">
      <c r="B125" s="10"/>
      <c r="C125" s="58"/>
      <c r="D125" s="58"/>
      <c r="E125" s="29" t="s">
        <v>119</v>
      </c>
      <c r="F125" s="44"/>
      <c r="G125" s="29"/>
      <c r="H125" s="62"/>
      <c r="I125" s="45">
        <f t="array" ref="I125">SUMIF($B$4:$B$63,"100552",$I$4:$I$63)</f>
        <v>13124.91</v>
      </c>
      <c r="J125" s="45">
        <f t="array" ref="J125">SUMIF($B$4:$B$63,"100552",$J$4:$J$63)</f>
        <v>13124.91</v>
      </c>
      <c r="K125" s="45">
        <f t="array" ref="K125">SUMIF($B$4:$B$63,"100552",$K$4:$K$63)</f>
        <v>0</v>
      </c>
      <c r="L125" s="46">
        <f>SUMIF($B$4:$B$63,"100552",$L$4:$L$63)</f>
        <v>0</v>
      </c>
    </row>
    <row r="126" spans="2:12" s="20" customFormat="1" ht="15.75" thickBot="1" x14ac:dyDescent="0.25">
      <c r="B126" s="10"/>
      <c r="C126" s="58"/>
      <c r="D126" s="58"/>
      <c r="E126" s="29" t="s">
        <v>120</v>
      </c>
      <c r="F126" s="44"/>
      <c r="G126" s="29"/>
      <c r="H126" s="62"/>
      <c r="I126" s="60">
        <f>SUMIF($B$4:$B$63,"100554",$I$4:$I$63)</f>
        <v>168175.03</v>
      </c>
      <c r="J126" s="60">
        <f>SUMIF($B$4:$B$63,"100554",$J$4:$J$63)</f>
        <v>112276.11</v>
      </c>
      <c r="K126" s="60">
        <f>SUMIF($B$4:$B$63,"100554",$K$4:$K$63)</f>
        <v>55898.919999999991</v>
      </c>
      <c r="L126" s="61">
        <f>SUMIF($B$4:$B$63,"100554",$L$4:$L$63)</f>
        <v>3492329.0099999993</v>
      </c>
    </row>
    <row r="127" spans="2:12" s="20" customFormat="1" x14ac:dyDescent="0.2">
      <c r="B127" s="58"/>
      <c r="C127" s="58"/>
      <c r="D127" s="58"/>
      <c r="F127" s="44"/>
      <c r="H127" s="62"/>
      <c r="I127" s="45"/>
      <c r="J127" s="45"/>
      <c r="K127" s="45"/>
      <c r="L127" s="46"/>
    </row>
    <row r="128" spans="2:12" s="20" customFormat="1" ht="14.25" customHeight="1" x14ac:dyDescent="0.2">
      <c r="B128" s="58"/>
      <c r="C128" s="58"/>
      <c r="D128" s="58"/>
      <c r="E128" s="77" t="s">
        <v>153</v>
      </c>
      <c r="F128" s="63"/>
      <c r="G128" s="77"/>
      <c r="H128" s="62"/>
      <c r="I128" s="45">
        <f>SUM(I112:I126)</f>
        <v>246229.14</v>
      </c>
      <c r="J128" s="45">
        <f>SUM(J112:J126)</f>
        <v>172001.43</v>
      </c>
      <c r="K128" s="45">
        <f>SUM(K112:K126)</f>
        <v>74227.709999999992</v>
      </c>
      <c r="L128" s="46">
        <f>SUM(L112:L126)</f>
        <v>3894317.9599999995</v>
      </c>
    </row>
    <row r="129" spans="5:12" x14ac:dyDescent="0.2">
      <c r="E129" s="65"/>
      <c r="F129" s="78"/>
      <c r="G129" s="65"/>
      <c r="I129" s="79"/>
      <c r="J129" s="79"/>
      <c r="K129" s="79"/>
      <c r="L129" s="79"/>
    </row>
    <row r="130" spans="5:12" x14ac:dyDescent="0.2">
      <c r="E130" s="65" t="s">
        <v>101</v>
      </c>
      <c r="F130" s="78"/>
      <c r="G130" s="65"/>
      <c r="H130" s="64"/>
      <c r="I130" s="79">
        <f>I65</f>
        <v>246229.13999999998</v>
      </c>
      <c r="J130" s="79">
        <f>J65</f>
        <v>172001.43</v>
      </c>
      <c r="K130" s="79">
        <f>K65</f>
        <v>74227.709999999977</v>
      </c>
      <c r="L130" s="80">
        <f>L65</f>
        <v>3894317.9599999995</v>
      </c>
    </row>
    <row r="131" spans="5:12" x14ac:dyDescent="0.2">
      <c r="E131" s="65"/>
      <c r="F131" s="78"/>
      <c r="G131" s="65"/>
      <c r="H131" s="64"/>
      <c r="I131" s="79"/>
      <c r="J131" s="79"/>
      <c r="K131" s="79"/>
      <c r="L131" s="80"/>
    </row>
    <row r="132" spans="5:12" x14ac:dyDescent="0.2">
      <c r="E132" s="65" t="s">
        <v>102</v>
      </c>
      <c r="F132" s="78"/>
      <c r="G132" s="65"/>
      <c r="H132" s="64"/>
      <c r="I132" s="79">
        <f>I110</f>
        <v>246229.13999999998</v>
      </c>
      <c r="J132" s="79">
        <f>J110</f>
        <v>172001.42999999996</v>
      </c>
      <c r="K132" s="79">
        <f>K110</f>
        <v>74227.709999999992</v>
      </c>
      <c r="L132" s="80">
        <f>L110</f>
        <v>3894317.9600000004</v>
      </c>
    </row>
  </sheetData>
  <sortState ref="G86:L120">
    <sortCondition ref="G86:G120"/>
  </sortState>
  <phoneticPr fontId="0" type="noConversion"/>
  <printOptions horizontalCentered="1"/>
  <pageMargins left="0.25" right="0.25" top="0.5" bottom="0.5" header="0" footer="0"/>
  <pageSetup scale="68" fitToHeight="0" orientation="landscape" cellComments="atEnd" r:id="rId1"/>
  <headerFooter>
    <oddFooter>&amp;L&amp;12&amp;F&amp;R&amp;12Compiled by Katrina Hill</oddFooter>
  </headerFooter>
  <rowBreaks count="3" manualBreakCount="3">
    <brk id="38" max="16383" man="1"/>
    <brk id="65" max="16383" man="1"/>
    <brk id="11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Volume Under Contract</vt:lpstr>
      <vt:lpstr>'Volume Under Contract'!Print_Titles</vt:lpstr>
    </vt:vector>
  </TitlesOfParts>
  <Company>USDA Forest Service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Weston, Rachel - FS</cp:lastModifiedBy>
  <cp:lastPrinted>2019-04-19T18:23:00Z</cp:lastPrinted>
  <dcterms:created xsi:type="dcterms:W3CDTF">2000-01-21T21:34:04Z</dcterms:created>
  <dcterms:modified xsi:type="dcterms:W3CDTF">2019-04-29T19:06:02Z</dcterms:modified>
</cp:coreProperties>
</file>