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" yWindow="30" windowWidth="15345" windowHeight="9435"/>
  </bookViews>
  <sheets>
    <sheet name="Sheet1" sheetId="1" r:id="rId1"/>
    <sheet name="Sheet2" sheetId="1824" r:id="rId2"/>
    <sheet name="Sheet3" sheetId="15180" r:id="rId3"/>
  </sheets>
  <calcPr calcId="125725"/>
</workbook>
</file>

<file path=xl/calcChain.xml><?xml version="1.0" encoding="utf-8"?>
<calcChain xmlns="http://schemas.openxmlformats.org/spreadsheetml/2006/main">
  <c r="A79" i="1"/>
  <c r="A72"/>
  <c r="A21"/>
  <c r="A4"/>
  <c r="A91"/>
  <c r="A84"/>
  <c r="A36"/>
  <c r="A16"/>
  <c r="A15"/>
  <c r="A12"/>
  <c r="A5"/>
  <c r="A83"/>
  <c r="A53"/>
  <c r="A52"/>
  <c r="A9"/>
  <c r="K152" a="1"/>
  <c r="K152"/>
  <c r="J152" a="1"/>
  <c r="J152"/>
  <c r="I152" a="1"/>
  <c r="I152"/>
  <c r="H152" a="1"/>
  <c r="H152"/>
  <c r="K133"/>
  <c r="J133"/>
  <c r="I133"/>
  <c r="H133"/>
  <c r="K151"/>
  <c r="J151"/>
  <c r="I151"/>
  <c r="H151"/>
  <c r="A85"/>
  <c r="A59"/>
  <c r="A49"/>
  <c r="A48"/>
  <c r="A11"/>
  <c r="A102"/>
  <c r="K136"/>
  <c r="J136"/>
  <c r="I136"/>
  <c r="H136"/>
  <c r="A92"/>
  <c r="A56"/>
  <c r="A7"/>
  <c r="K146"/>
  <c r="J146"/>
  <c r="I146"/>
  <c r="H146"/>
  <c r="K131"/>
  <c r="J131"/>
  <c r="I131"/>
  <c r="H131"/>
  <c r="A71"/>
  <c r="A44"/>
  <c r="A103"/>
  <c r="A101"/>
  <c r="A100"/>
  <c r="A99"/>
  <c r="A98"/>
  <c r="A30"/>
  <c r="A29"/>
  <c r="K129"/>
  <c r="J129"/>
  <c r="I129"/>
  <c r="H129"/>
  <c r="A55"/>
  <c r="A62"/>
  <c r="A61"/>
  <c r="A60"/>
  <c r="A58"/>
  <c r="A57"/>
  <c r="A54"/>
  <c r="A47"/>
  <c r="A46"/>
  <c r="A45"/>
  <c r="A43"/>
  <c r="A42"/>
  <c r="A41"/>
  <c r="A40"/>
  <c r="K126"/>
  <c r="J126"/>
  <c r="I126"/>
  <c r="H126"/>
  <c r="K147"/>
  <c r="J147"/>
  <c r="I147"/>
  <c r="H147"/>
  <c r="A74"/>
  <c r="A23"/>
  <c r="A82"/>
  <c r="A63"/>
  <c r="A33"/>
  <c r="K138"/>
  <c r="J138"/>
  <c r="I138"/>
  <c r="H138"/>
  <c r="A18"/>
  <c r="K139"/>
  <c r="J139"/>
  <c r="I139"/>
  <c r="H139"/>
  <c r="K137"/>
  <c r="J137"/>
  <c r="I137"/>
  <c r="H137"/>
  <c r="G94"/>
  <c r="K121"/>
  <c r="J121"/>
  <c r="I121"/>
  <c r="H121"/>
  <c r="A13"/>
  <c r="A17"/>
  <c r="K135"/>
  <c r="J135"/>
  <c r="I135"/>
  <c r="H135"/>
  <c r="K117"/>
  <c r="J117"/>
  <c r="I117"/>
  <c r="H117"/>
  <c r="K115" a="1"/>
  <c r="K115"/>
  <c r="J115" a="1"/>
  <c r="J115"/>
  <c r="I115" a="1"/>
  <c r="I115"/>
  <c r="H115" a="1"/>
  <c r="H115"/>
  <c r="K125"/>
  <c r="J125"/>
  <c r="I125"/>
  <c r="H125"/>
  <c r="A28"/>
  <c r="G105"/>
  <c r="K105"/>
  <c r="J105"/>
  <c r="I105"/>
  <c r="H105"/>
  <c r="K143"/>
  <c r="J143"/>
  <c r="I143"/>
  <c r="H143"/>
  <c r="K144"/>
  <c r="J144"/>
  <c r="I144"/>
  <c r="H144"/>
  <c r="A70"/>
  <c r="A68"/>
  <c r="A67"/>
  <c r="A69"/>
  <c r="A37"/>
  <c r="A20"/>
  <c r="A6"/>
  <c r="A3"/>
  <c r="A8"/>
  <c r="J120" a="1"/>
  <c r="J120"/>
  <c r="J119" a="1"/>
  <c r="J119"/>
  <c r="J118" a="1"/>
  <c r="J118"/>
  <c r="J116" a="1"/>
  <c r="J116"/>
  <c r="K119"/>
  <c r="I119"/>
  <c r="H119"/>
  <c r="J167"/>
  <c r="J166"/>
  <c r="J165"/>
  <c r="J159"/>
  <c r="J158"/>
  <c r="K169"/>
  <c r="J169" a="1"/>
  <c r="J169"/>
  <c r="I169" a="1"/>
  <c r="I169"/>
  <c r="H169" a="1"/>
  <c r="H169"/>
  <c r="K170"/>
  <c r="J170"/>
  <c r="I170"/>
  <c r="H170"/>
  <c r="K168" a="1"/>
  <c r="K168"/>
  <c r="J168" a="1"/>
  <c r="J168"/>
  <c r="I168" a="1"/>
  <c r="I168"/>
  <c r="H168" a="1"/>
  <c r="H168"/>
  <c r="K167" a="1"/>
  <c r="K167"/>
  <c r="I167" a="1"/>
  <c r="I167"/>
  <c r="H167" a="1"/>
  <c r="H167"/>
  <c r="K166" a="1"/>
  <c r="K166"/>
  <c r="I166"/>
  <c r="H166"/>
  <c r="K165" a="1"/>
  <c r="K165"/>
  <c r="I165" a="1"/>
  <c r="I165"/>
  <c r="H165" a="1"/>
  <c r="H165"/>
  <c r="K164" a="1"/>
  <c r="K164"/>
  <c r="J164" a="1"/>
  <c r="J164"/>
  <c r="I164" a="1"/>
  <c r="I164"/>
  <c r="H164" a="1"/>
  <c r="H164"/>
  <c r="K163" a="1"/>
  <c r="K163"/>
  <c r="J163" a="1"/>
  <c r="J163"/>
  <c r="I163" a="1"/>
  <c r="I163"/>
  <c r="H163" a="1"/>
  <c r="H163"/>
  <c r="K162" a="1"/>
  <c r="K162"/>
  <c r="J162" a="1"/>
  <c r="J162"/>
  <c r="I162" a="1"/>
  <c r="I162"/>
  <c r="H162" a="1"/>
  <c r="H162"/>
  <c r="K161" a="1"/>
  <c r="K161"/>
  <c r="J161" a="1"/>
  <c r="J161"/>
  <c r="I161" a="1"/>
  <c r="I161"/>
  <c r="H161" a="1"/>
  <c r="H161"/>
  <c r="K160" a="1"/>
  <c r="K160"/>
  <c r="J160" a="1"/>
  <c r="J160"/>
  <c r="J172"/>
  <c r="I160" a="1"/>
  <c r="I160"/>
  <c r="H160" a="1"/>
  <c r="H160"/>
  <c r="K159" a="1"/>
  <c r="K159"/>
  <c r="I159" a="1"/>
  <c r="I159"/>
  <c r="H159" a="1"/>
  <c r="H159"/>
  <c r="K158"/>
  <c r="I158"/>
  <c r="H158"/>
  <c r="K113" a="1"/>
  <c r="K113"/>
  <c r="J113" a="1"/>
  <c r="J113"/>
  <c r="I113" a="1"/>
  <c r="I113"/>
  <c r="H113" a="1"/>
  <c r="H113"/>
  <c r="A25"/>
  <c r="K130" a="1"/>
  <c r="K130"/>
  <c r="J130" a="1"/>
  <c r="J130"/>
  <c r="I130" a="1"/>
  <c r="I130"/>
  <c r="H130" a="1"/>
  <c r="H130"/>
  <c r="K150" a="1"/>
  <c r="K150"/>
  <c r="K149" a="1"/>
  <c r="K149"/>
  <c r="K148" a="1"/>
  <c r="K148"/>
  <c r="K145" a="1"/>
  <c r="K145"/>
  <c r="K142" a="1"/>
  <c r="K142"/>
  <c r="K141" a="1"/>
  <c r="K141"/>
  <c r="K140" a="1"/>
  <c r="K140"/>
  <c r="K134" a="1"/>
  <c r="K134"/>
  <c r="K132" a="1"/>
  <c r="K132"/>
  <c r="K128" a="1"/>
  <c r="K128"/>
  <c r="K127" a="1"/>
  <c r="K127"/>
  <c r="K124" a="1"/>
  <c r="K124"/>
  <c r="K123" a="1"/>
  <c r="K123"/>
  <c r="K122" a="1"/>
  <c r="K122"/>
  <c r="K120" a="1"/>
  <c r="K120"/>
  <c r="K118" a="1"/>
  <c r="K118"/>
  <c r="K116" a="1"/>
  <c r="K116"/>
  <c r="K114" a="1"/>
  <c r="K114"/>
  <c r="K112" a="1"/>
  <c r="K112"/>
  <c r="J150" a="1"/>
  <c r="J150"/>
  <c r="J149" a="1"/>
  <c r="J149"/>
  <c r="J148" a="1"/>
  <c r="J148"/>
  <c r="J145" a="1"/>
  <c r="J145"/>
  <c r="J142" a="1"/>
  <c r="J142"/>
  <c r="J141" a="1"/>
  <c r="J141"/>
  <c r="J140" a="1"/>
  <c r="J140"/>
  <c r="J134" a="1"/>
  <c r="J134"/>
  <c r="J132" a="1"/>
  <c r="J132"/>
  <c r="J128" a="1"/>
  <c r="J128"/>
  <c r="J127" a="1"/>
  <c r="J127"/>
  <c r="J124" a="1"/>
  <c r="J124"/>
  <c r="J123" a="1"/>
  <c r="J123"/>
  <c r="J122" a="1"/>
  <c r="J122"/>
  <c r="J114" a="1"/>
  <c r="J114"/>
  <c r="J112" a="1"/>
  <c r="J112"/>
  <c r="I150" a="1"/>
  <c r="I150"/>
  <c r="I149" a="1"/>
  <c r="I149"/>
  <c r="I148" a="1"/>
  <c r="I148"/>
  <c r="I145" a="1"/>
  <c r="I145"/>
  <c r="I142" a="1"/>
  <c r="I142"/>
  <c r="I141" a="1"/>
  <c r="I141"/>
  <c r="I140" a="1"/>
  <c r="I140"/>
  <c r="I134" a="1"/>
  <c r="I134"/>
  <c r="I132" a="1"/>
  <c r="I132"/>
  <c r="I128" a="1"/>
  <c r="I128"/>
  <c r="I127" a="1"/>
  <c r="I127"/>
  <c r="I124" a="1"/>
  <c r="I124"/>
  <c r="I123" a="1"/>
  <c r="I123"/>
  <c r="I122" a="1"/>
  <c r="I122"/>
  <c r="I120" a="1"/>
  <c r="I120"/>
  <c r="I118"/>
  <c r="I116" a="1"/>
  <c r="I116"/>
  <c r="I114" a="1"/>
  <c r="I114"/>
  <c r="I112" a="1"/>
  <c r="I112"/>
  <c r="H150" a="1"/>
  <c r="H150"/>
  <c r="H149" a="1"/>
  <c r="H149"/>
  <c r="H148" a="1"/>
  <c r="H148"/>
  <c r="H145" a="1"/>
  <c r="H145"/>
  <c r="H142" a="1"/>
  <c r="H142"/>
  <c r="H141" a="1"/>
  <c r="H141"/>
  <c r="H140" a="1"/>
  <c r="H140"/>
  <c r="H134" a="1"/>
  <c r="H134"/>
  <c r="H132" a="1"/>
  <c r="H132"/>
  <c r="H128" a="1"/>
  <c r="H128"/>
  <c r="H127" a="1"/>
  <c r="H127"/>
  <c r="H124" a="1"/>
  <c r="H124"/>
  <c r="H123" a="1"/>
  <c r="H123"/>
  <c r="H122" a="1"/>
  <c r="H122"/>
  <c r="H120" a="1"/>
  <c r="H120"/>
  <c r="H118"/>
  <c r="H116" a="1"/>
  <c r="H116"/>
  <c r="H114" a="1"/>
  <c r="H114"/>
  <c r="H112" a="1"/>
  <c r="H112"/>
  <c r="A81"/>
  <c r="A78"/>
  <c r="A38"/>
  <c r="A35"/>
  <c r="A32"/>
  <c r="A22"/>
  <c r="J94"/>
  <c r="J108"/>
  <c r="A19"/>
  <c r="A27"/>
  <c r="A90"/>
  <c r="A66"/>
  <c r="A73"/>
  <c r="A86"/>
  <c r="A39"/>
  <c r="A14"/>
  <c r="A10"/>
  <c r="A24"/>
  <c r="A26"/>
  <c r="A31"/>
  <c r="A34"/>
  <c r="A64"/>
  <c r="A65"/>
  <c r="A75"/>
  <c r="A76"/>
  <c r="A77"/>
  <c r="A80"/>
  <c r="A87"/>
  <c r="A88"/>
  <c r="A89"/>
  <c r="K94"/>
  <c r="K108"/>
  <c r="I94"/>
  <c r="I108"/>
  <c r="H94"/>
  <c r="H108"/>
  <c r="G108"/>
  <c r="J154"/>
  <c r="I154"/>
  <c r="K154"/>
  <c r="K172"/>
  <c r="I172"/>
  <c r="H172"/>
  <c r="H154"/>
</calcChain>
</file>

<file path=xl/sharedStrings.xml><?xml version="1.0" encoding="utf-8"?>
<sst xmlns="http://schemas.openxmlformats.org/spreadsheetml/2006/main" count="402" uniqueCount="261">
  <si>
    <t>Chugach National Forest</t>
  </si>
  <si>
    <t>Bid Date</t>
  </si>
  <si>
    <t>Porter Lumber</t>
  </si>
  <si>
    <t>Summore Change</t>
  </si>
  <si>
    <t>Tongass National Forest</t>
  </si>
  <si>
    <t>Pacific Log &amp; Lumber Ltd</t>
  </si>
  <si>
    <t>Alcan Forest Products LLP</t>
  </si>
  <si>
    <t>Keith Dahl</t>
  </si>
  <si>
    <t>Icy Straits Lumber &amp; Mill</t>
  </si>
  <si>
    <t>Finger Point</t>
  </si>
  <si>
    <t>Midway Reoffer II</t>
  </si>
  <si>
    <t>Licking Creek</t>
  </si>
  <si>
    <t>Ernie Eads</t>
  </si>
  <si>
    <t>Yakutat</t>
  </si>
  <si>
    <t>Thorne Bay</t>
  </si>
  <si>
    <t>Hoonah</t>
  </si>
  <si>
    <t>Craig</t>
  </si>
  <si>
    <t>Ketchikan</t>
  </si>
  <si>
    <t>Juneau</t>
  </si>
  <si>
    <t>Petersburg</t>
  </si>
  <si>
    <t>Wrangell</t>
  </si>
  <si>
    <t>Seward</t>
  </si>
  <si>
    <t>Termination Date</t>
  </si>
  <si>
    <t>Shady</t>
  </si>
  <si>
    <t xml:space="preserve">H &amp; L Salvage, Inc </t>
  </si>
  <si>
    <t>James Harrison</t>
  </si>
  <si>
    <t>Ambrosia</t>
  </si>
  <si>
    <t>Coeur Alaska, Inc</t>
  </si>
  <si>
    <t>Kosciusko Stewardship</t>
  </si>
  <si>
    <t>Permit</t>
  </si>
  <si>
    <t>Little Rock</t>
  </si>
  <si>
    <t>Viking Lumber Company</t>
  </si>
  <si>
    <t>William Thomason</t>
  </si>
  <si>
    <t>Steve Little</t>
  </si>
  <si>
    <t>Low Ridge</t>
  </si>
  <si>
    <t>Mink Tail Special Salvage</t>
  </si>
  <si>
    <t>Larry Trumble</t>
  </si>
  <si>
    <t>Upper Carroll II</t>
  </si>
  <si>
    <t>Lindenberg</t>
  </si>
  <si>
    <t>Commercial Sawlog</t>
  </si>
  <si>
    <t>Lucky Charm Reoffer</t>
  </si>
  <si>
    <t>Buckdance Madder Reoffer</t>
  </si>
  <si>
    <t>R&amp;R Conner Inc</t>
  </si>
  <si>
    <t>D&amp;L Woodworks</t>
  </si>
  <si>
    <t>Drumlin Reoffer II</t>
  </si>
  <si>
    <t>CSL Farm &amp; Supply</t>
  </si>
  <si>
    <t>H &amp; L Salvage, Inc</t>
  </si>
  <si>
    <t>Volume Cut (MBF)</t>
  </si>
  <si>
    <t>Current Qty Est (MBF)</t>
  </si>
  <si>
    <t>Contract ID</t>
  </si>
  <si>
    <t>Skipping Cow</t>
  </si>
  <si>
    <t>William Kaufman</t>
  </si>
  <si>
    <t>Summary by Purchaser</t>
  </si>
  <si>
    <t>Remaining Vol (MBF)</t>
  </si>
  <si>
    <t>Glacier</t>
  </si>
  <si>
    <t>Cordova</t>
  </si>
  <si>
    <t>Sitka</t>
  </si>
  <si>
    <t>Admirality</t>
  </si>
  <si>
    <t>Unit</t>
  </si>
  <si>
    <t>Divide</t>
  </si>
  <si>
    <t>Brisket Special Salvage</t>
  </si>
  <si>
    <t>Dogleg Special Salvage</t>
  </si>
  <si>
    <t>Moxie Special Salvage</t>
  </si>
  <si>
    <t>Lookup Table</t>
  </si>
  <si>
    <t>Power Lake</t>
  </si>
  <si>
    <t>Twin Shovel</t>
  </si>
  <si>
    <r>
      <t xml:space="preserve">Alaska Region  </t>
    </r>
    <r>
      <rPr>
        <sz val="12"/>
        <rFont val="Arial"/>
        <family val="2"/>
      </rPr>
      <t xml:space="preserve">       </t>
    </r>
  </si>
  <si>
    <t>Blind Slough</t>
  </si>
  <si>
    <t>Setter Lake</t>
  </si>
  <si>
    <t>Sale Name (Not in Default)</t>
  </si>
  <si>
    <t>Ranger District</t>
  </si>
  <si>
    <t>Purchaser</t>
  </si>
  <si>
    <t>Fishtrap Special Salvage</t>
  </si>
  <si>
    <t>Remaining Value ($)</t>
  </si>
  <si>
    <t>Backline</t>
  </si>
  <si>
    <t>Gordon Chew</t>
  </si>
  <si>
    <t>Last Call Reoffer</t>
  </si>
  <si>
    <t>Above Road</t>
  </si>
  <si>
    <t>Boomerang</t>
  </si>
  <si>
    <t>Small Otter</t>
  </si>
  <si>
    <t>Turbo Otter</t>
  </si>
  <si>
    <t>Jerod Cook</t>
  </si>
  <si>
    <t>Scratchings</t>
  </si>
  <si>
    <t>Vincent S. Schafer</t>
  </si>
  <si>
    <t>Three Moose</t>
  </si>
  <si>
    <t>Brent Cole</t>
  </si>
  <si>
    <t>Bogo</t>
  </si>
  <si>
    <t>Bound</t>
  </si>
  <si>
    <t>Fishsticks</t>
  </si>
  <si>
    <t>Winter Harbor Stewardship</t>
  </si>
  <si>
    <t>Custom Cut LLC</t>
  </si>
  <si>
    <t>Sales/Permits with Remaining Volume:</t>
  </si>
  <si>
    <t>Summary by Ranger District</t>
  </si>
  <si>
    <t>Microsale #26</t>
  </si>
  <si>
    <t>Two Creeks</t>
  </si>
  <si>
    <t>060510</t>
  </si>
  <si>
    <t>061062</t>
  </si>
  <si>
    <t>061484</t>
  </si>
  <si>
    <t>060734</t>
  </si>
  <si>
    <t>061047</t>
  </si>
  <si>
    <t>061526</t>
  </si>
  <si>
    <t>061534</t>
  </si>
  <si>
    <t>061559</t>
  </si>
  <si>
    <t>060627</t>
  </si>
  <si>
    <t>060965</t>
  </si>
  <si>
    <t>061310</t>
  </si>
  <si>
    <t>061641</t>
  </si>
  <si>
    <t>061658</t>
  </si>
  <si>
    <t>061666</t>
  </si>
  <si>
    <t>061674</t>
  </si>
  <si>
    <t>061815</t>
  </si>
  <si>
    <t>061591</t>
  </si>
  <si>
    <t>060866</t>
  </si>
  <si>
    <t>061013</t>
  </si>
  <si>
    <t>061617</t>
  </si>
  <si>
    <t>061864</t>
  </si>
  <si>
    <t>060619</t>
  </si>
  <si>
    <t>061070</t>
  </si>
  <si>
    <t>061146</t>
  </si>
  <si>
    <t>060056</t>
  </si>
  <si>
    <t>060999</t>
  </si>
  <si>
    <t>061021</t>
  </si>
  <si>
    <t>061104</t>
  </si>
  <si>
    <t>061229</t>
  </si>
  <si>
    <t>061294</t>
  </si>
  <si>
    <t>061336</t>
  </si>
  <si>
    <t>061344</t>
  </si>
  <si>
    <t>061427</t>
  </si>
  <si>
    <t>061435</t>
  </si>
  <si>
    <t>061468</t>
  </si>
  <si>
    <t>061682</t>
  </si>
  <si>
    <t>061716</t>
  </si>
  <si>
    <t>061724</t>
  </si>
  <si>
    <t>061732</t>
  </si>
  <si>
    <t>La Brea</t>
  </si>
  <si>
    <t>061849</t>
  </si>
  <si>
    <t>Single Pit</t>
  </si>
  <si>
    <t>Pit Run</t>
  </si>
  <si>
    <t>North Pole</t>
  </si>
  <si>
    <t>Sharp Lumber</t>
  </si>
  <si>
    <t>POW Coml Thinning Study</t>
  </si>
  <si>
    <t>Hook Reoffer</t>
  </si>
  <si>
    <t>Oxbox</t>
  </si>
  <si>
    <t>Scott Hill Skyline Logging</t>
  </si>
  <si>
    <t>Soda</t>
  </si>
  <si>
    <t>061997</t>
  </si>
  <si>
    <t>061963</t>
  </si>
  <si>
    <t>061955</t>
  </si>
  <si>
    <t>061971</t>
  </si>
  <si>
    <t>061906</t>
  </si>
  <si>
    <t>061914</t>
  </si>
  <si>
    <t>062003</t>
  </si>
  <si>
    <t>061922</t>
  </si>
  <si>
    <t>Commercial Fuelwood</t>
  </si>
  <si>
    <t>Hecla Greens Creek Mining</t>
  </si>
  <si>
    <t>3-D Settlement</t>
  </si>
  <si>
    <t>062011</t>
  </si>
  <si>
    <t>Commercial Products</t>
  </si>
  <si>
    <t>Luther J Coby</t>
  </si>
  <si>
    <t>6367 Small Sale # 1</t>
  </si>
  <si>
    <t>DOT/PF State of Alaska</t>
  </si>
  <si>
    <t>Juneau Access Settlement</t>
  </si>
  <si>
    <t>Redtail Salvage</t>
  </si>
  <si>
    <t>061989</t>
  </si>
  <si>
    <t>062045</t>
  </si>
  <si>
    <t>Michael B Allen</t>
  </si>
  <si>
    <t>062078</t>
  </si>
  <si>
    <t>Porcupine Salvage Reoffer II</t>
  </si>
  <si>
    <t>Mike Jones</t>
  </si>
  <si>
    <t>Sumner</t>
  </si>
  <si>
    <t>062110</t>
  </si>
  <si>
    <t>062128</t>
  </si>
  <si>
    <t>Michael Johnson</t>
  </si>
  <si>
    <t>Heat Your Home Salvage</t>
  </si>
  <si>
    <t>Microsale #150</t>
  </si>
  <si>
    <t>Catfal</t>
  </si>
  <si>
    <t>Clear Water</t>
  </si>
  <si>
    <t>Orion North Reoffer</t>
  </si>
  <si>
    <t>Microsale #151</t>
  </si>
  <si>
    <t>062151</t>
  </si>
  <si>
    <t>062136</t>
  </si>
  <si>
    <t>062144</t>
  </si>
  <si>
    <t>062102</t>
  </si>
  <si>
    <t>062169</t>
  </si>
  <si>
    <t>Trap Mountain</t>
  </si>
  <si>
    <t>TM Construction, Inc</t>
  </si>
  <si>
    <t>Kelp Bay Commercial Fuelwood</t>
  </si>
  <si>
    <t>062177</t>
  </si>
  <si>
    <t>062185</t>
  </si>
  <si>
    <t>002562</t>
  </si>
  <si>
    <t>Henry Drechnowicz</t>
  </si>
  <si>
    <t>Turnagain Quarry Set</t>
  </si>
  <si>
    <t>Diesel</t>
  </si>
  <si>
    <t>062193</t>
  </si>
  <si>
    <t>920184</t>
  </si>
  <si>
    <t>002570</t>
  </si>
  <si>
    <t>002588</t>
  </si>
  <si>
    <t>Jim Skogstad</t>
  </si>
  <si>
    <t>Dry Duff Coml Fuelwood</t>
  </si>
  <si>
    <t>East Ridge Settlement</t>
  </si>
  <si>
    <t>Sand Pit Settlement</t>
  </si>
  <si>
    <t>062201</t>
  </si>
  <si>
    <t>062227</t>
  </si>
  <si>
    <t>002604</t>
  </si>
  <si>
    <t>002596</t>
  </si>
  <si>
    <t xml:space="preserve">Ocean View Coml Fuelwood </t>
  </si>
  <si>
    <t>Turnagain Coml Fuelwoood</t>
  </si>
  <si>
    <t>Jerry Baker</t>
  </si>
  <si>
    <t>Microsale #31</t>
  </si>
  <si>
    <t>St. Nick Forest Products</t>
  </si>
  <si>
    <t>Salt</t>
  </si>
  <si>
    <t>062235</t>
  </si>
  <si>
    <t>062219</t>
  </si>
  <si>
    <t>Microsale #153</t>
  </si>
  <si>
    <t>Cove</t>
  </si>
  <si>
    <t>062243</t>
  </si>
  <si>
    <t>062250</t>
  </si>
  <si>
    <t>002612</t>
  </si>
  <si>
    <t>Marc Roderic</t>
  </si>
  <si>
    <t xml:space="preserve">Ten One Coml Fuelwood </t>
  </si>
  <si>
    <t>Beetle Coml Fuelwood</t>
  </si>
  <si>
    <t>Microsale #155</t>
  </si>
  <si>
    <t>Larry Clark</t>
  </si>
  <si>
    <t>Microsale #157</t>
  </si>
  <si>
    <t>Microsale #156</t>
  </si>
  <si>
    <t>Wedge Resale II</t>
  </si>
  <si>
    <t xml:space="preserve">William L.Cheney </t>
  </si>
  <si>
    <t>062300</t>
  </si>
  <si>
    <t>062284</t>
  </si>
  <si>
    <t>062268</t>
  </si>
  <si>
    <t>062292</t>
  </si>
  <si>
    <t>062276</t>
  </si>
  <si>
    <t>William L.Cheney</t>
  </si>
  <si>
    <t>6367 Small Sale #2 Reoffer</t>
  </si>
  <si>
    <t>Microsale #30</t>
  </si>
  <si>
    <t>Microsale #158</t>
  </si>
  <si>
    <t>Microsale #160</t>
  </si>
  <si>
    <t>Microsale #152</t>
  </si>
  <si>
    <t>062342</t>
  </si>
  <si>
    <t>062326</t>
  </si>
  <si>
    <t>062334</t>
  </si>
  <si>
    <t>062318</t>
  </si>
  <si>
    <t>Microsale #159</t>
  </si>
  <si>
    <t>Fish Ladder</t>
  </si>
  <si>
    <t>Little Cedar</t>
  </si>
  <si>
    <t>Outback</t>
  </si>
  <si>
    <t>Microsale #29</t>
  </si>
  <si>
    <t>062375</t>
  </si>
  <si>
    <t>062383</t>
  </si>
  <si>
    <t>062359</t>
  </si>
  <si>
    <t>062391</t>
  </si>
  <si>
    <t>062367</t>
  </si>
  <si>
    <t>920226</t>
  </si>
  <si>
    <t>Boundary II</t>
  </si>
  <si>
    <t>Tidal</t>
  </si>
  <si>
    <t>Goose Reoffer</t>
  </si>
  <si>
    <t>Slake</t>
  </si>
  <si>
    <t>062425</t>
  </si>
  <si>
    <t>062409</t>
  </si>
  <si>
    <t>062417</t>
  </si>
  <si>
    <t>062433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</si>
</sst>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72" formatCode="m/d/yyyy;@"/>
  </numFmts>
  <fonts count="24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3" applyNumberFormat="0" applyAlignment="0" applyProtection="0"/>
    <xf numFmtId="0" fontId="9" fillId="28" borderId="4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3" applyNumberFormat="0" applyAlignment="0" applyProtection="0"/>
    <xf numFmtId="0" fontId="16" fillId="0" borderId="8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18" fillId="27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172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/>
    <xf numFmtId="16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3" fillId="0" borderId="0" xfId="0" applyFont="1"/>
    <xf numFmtId="1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1" fillId="0" borderId="0" xfId="0" quotePrefix="1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left"/>
    </xf>
    <xf numFmtId="0" fontId="0" fillId="0" borderId="0" xfId="0" applyBorder="1" applyAlignment="1"/>
    <xf numFmtId="4" fontId="1" fillId="0" borderId="0" xfId="0" applyNumberFormat="1" applyFont="1" applyBorder="1" applyAlignment="1">
      <alignment horizontal="right"/>
    </xf>
    <xf numFmtId="0" fontId="3" fillId="0" borderId="0" xfId="0" applyFont="1" applyBorder="1"/>
    <xf numFmtId="14" fontId="1" fillId="0" borderId="0" xfId="0" applyNumberFormat="1" applyFont="1" applyBorder="1" applyAlignment="1">
      <alignment horizontal="center"/>
    </xf>
    <xf numFmtId="14" fontId="1" fillId="0" borderId="0" xfId="0" applyNumberFormat="1" applyFont="1" applyBorder="1"/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72" fontId="1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22" fillId="0" borderId="0" xfId="37" applyFont="1"/>
    <xf numFmtId="14" fontId="22" fillId="0" borderId="0" xfId="38" applyNumberFormat="1" applyFont="1" applyAlignment="1">
      <alignment horizontal="center"/>
    </xf>
    <xf numFmtId="0" fontId="5" fillId="0" borderId="0" xfId="38"/>
    <xf numFmtId="0" fontId="22" fillId="0" borderId="0" xfId="38" applyFont="1" applyAlignment="1">
      <alignment horizontal="center"/>
    </xf>
    <xf numFmtId="49" fontId="22" fillId="0" borderId="0" xfId="38" applyNumberFormat="1" applyFont="1" applyAlignment="1">
      <alignment horizontal="center"/>
    </xf>
    <xf numFmtId="0" fontId="22" fillId="0" borderId="0" xfId="40" applyFont="1"/>
    <xf numFmtId="0" fontId="23" fillId="0" borderId="0" xfId="0" applyFont="1"/>
    <xf numFmtId="0" fontId="4" fillId="0" borderId="0" xfId="0" applyFont="1"/>
    <xf numFmtId="0" fontId="22" fillId="0" borderId="0" xfId="41" applyFont="1" applyAlignment="1">
      <alignment horizontal="center"/>
    </xf>
    <xf numFmtId="49" fontId="22" fillId="0" borderId="0" xfId="41" applyNumberFormat="1" applyFont="1" applyAlignment="1">
      <alignment horizontal="center"/>
    </xf>
    <xf numFmtId="14" fontId="22" fillId="0" borderId="0" xfId="41" applyNumberFormat="1" applyFont="1" applyAlignment="1">
      <alignment horizontal="center"/>
    </xf>
    <xf numFmtId="0" fontId="22" fillId="0" borderId="0" xfId="43" applyFont="1"/>
    <xf numFmtId="0" fontId="0" fillId="0" borderId="0" xfId="0" applyAlignment="1">
      <alignment horizontal="right"/>
    </xf>
    <xf numFmtId="0" fontId="22" fillId="0" borderId="0" xfId="0" applyFont="1"/>
    <xf numFmtId="4" fontId="1" fillId="0" borderId="1" xfId="0" applyNumberFormat="1" applyFont="1" applyBorder="1" applyAlignment="1">
      <alignment horizontal="right" wrapText="1"/>
    </xf>
    <xf numFmtId="2" fontId="22" fillId="0" borderId="0" xfId="39" applyNumberFormat="1" applyFont="1" applyAlignment="1">
      <alignment horizontal="right"/>
    </xf>
    <xf numFmtId="164" fontId="22" fillId="0" borderId="0" xfId="39" applyNumberFormat="1" applyFont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4" fontId="22" fillId="0" borderId="0" xfId="42" applyNumberFormat="1" applyFont="1" applyAlignment="1">
      <alignment horizontal="right"/>
    </xf>
    <xf numFmtId="164" fontId="22" fillId="0" borderId="0" xfId="42" applyNumberFormat="1" applyFont="1" applyAlignment="1">
      <alignment horizontal="right"/>
    </xf>
    <xf numFmtId="0" fontId="22" fillId="0" borderId="0" xfId="44" applyFont="1"/>
    <xf numFmtId="0" fontId="22" fillId="0" borderId="0" xfId="44" applyFont="1"/>
    <xf numFmtId="0" fontId="22" fillId="0" borderId="0" xfId="44" applyFont="1" applyAlignment="1">
      <alignment horizontal="center"/>
    </xf>
    <xf numFmtId="49" fontId="22" fillId="0" borderId="0" xfId="44" applyNumberFormat="1" applyFont="1" applyAlignment="1">
      <alignment horizontal="center"/>
    </xf>
    <xf numFmtId="14" fontId="22" fillId="0" borderId="0" xfId="44" applyNumberFormat="1" applyFont="1" applyAlignment="1">
      <alignment horizontal="center"/>
    </xf>
    <xf numFmtId="4" fontId="22" fillId="0" borderId="0" xfId="44" applyNumberFormat="1" applyFont="1"/>
    <xf numFmtId="164" fontId="22" fillId="0" borderId="0" xfId="44" applyNumberFormat="1" applyFont="1"/>
    <xf numFmtId="0" fontId="22" fillId="0" borderId="0" xfId="44" applyFont="1" applyAlignment="1">
      <alignment horizontal="center"/>
    </xf>
    <xf numFmtId="49" fontId="22" fillId="0" borderId="0" xfId="44" applyNumberFormat="1" applyFont="1" applyAlignment="1">
      <alignment horizontal="center"/>
    </xf>
    <xf numFmtId="14" fontId="22" fillId="0" borderId="0" xfId="44" applyNumberFormat="1" applyFont="1" applyAlignment="1">
      <alignment horizontal="center"/>
    </xf>
    <xf numFmtId="4" fontId="22" fillId="0" borderId="0" xfId="44" applyNumberFormat="1" applyFont="1"/>
    <xf numFmtId="164" fontId="22" fillId="0" borderId="0" xfId="44" applyNumberFormat="1" applyFont="1"/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49" fontId="2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vertical="center"/>
    </xf>
  </cellXfs>
  <cellStyles count="11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2" xfId="37"/>
    <cellStyle name="Normal 30" xfId="38"/>
    <cellStyle name="Normal 31" xfId="39"/>
    <cellStyle name="Normal 53" xfId="40"/>
    <cellStyle name="Normal 58" xfId="41"/>
    <cellStyle name="Normal 59" xfId="42"/>
    <cellStyle name="Normal 61" xfId="43"/>
    <cellStyle name="Normal 66" xfId="44"/>
    <cellStyle name="Note 10" xfId="45" customBuiltin="1"/>
    <cellStyle name="Note 11" xfId="46" customBuiltin="1"/>
    <cellStyle name="Note 12" xfId="47" customBuiltin="1"/>
    <cellStyle name="Note 13" xfId="48" customBuiltin="1"/>
    <cellStyle name="Note 14" xfId="49" customBuiltin="1"/>
    <cellStyle name="Note 15" xfId="50" customBuiltin="1"/>
    <cellStyle name="Note 16" xfId="51" customBuiltin="1"/>
    <cellStyle name="Note 17" xfId="52" customBuiltin="1"/>
    <cellStyle name="Note 18" xfId="53" customBuiltin="1"/>
    <cellStyle name="Note 19" xfId="54" customBuiltin="1"/>
    <cellStyle name="Note 2" xfId="55" customBuiltin="1"/>
    <cellStyle name="Note 20" xfId="56" customBuiltin="1"/>
    <cellStyle name="Note 21" xfId="57" customBuiltin="1"/>
    <cellStyle name="Note 22" xfId="58" customBuiltin="1"/>
    <cellStyle name="Note 23" xfId="59" customBuiltin="1"/>
    <cellStyle name="Note 24" xfId="60" customBuiltin="1"/>
    <cellStyle name="Note 25" xfId="61" customBuiltin="1"/>
    <cellStyle name="Note 26" xfId="62" customBuiltin="1"/>
    <cellStyle name="Note 27" xfId="63" customBuiltin="1"/>
    <cellStyle name="Note 28" xfId="64" customBuiltin="1"/>
    <cellStyle name="Note 29" xfId="65" customBuiltin="1"/>
    <cellStyle name="Note 3" xfId="66" customBuiltin="1"/>
    <cellStyle name="Note 30" xfId="67" customBuiltin="1"/>
    <cellStyle name="Note 31" xfId="68" customBuiltin="1"/>
    <cellStyle name="Note 32" xfId="69" customBuiltin="1"/>
    <cellStyle name="Note 33" xfId="70" customBuiltin="1"/>
    <cellStyle name="Note 34" xfId="71" customBuiltin="1"/>
    <cellStyle name="Note 35" xfId="72" customBuiltin="1"/>
    <cellStyle name="Note 36" xfId="73" customBuiltin="1"/>
    <cellStyle name="Note 37" xfId="74" customBuiltin="1"/>
    <cellStyle name="Note 38" xfId="75" customBuiltin="1"/>
    <cellStyle name="Note 39" xfId="76" customBuiltin="1"/>
    <cellStyle name="Note 4" xfId="77" customBuiltin="1"/>
    <cellStyle name="Note 40" xfId="78" customBuiltin="1"/>
    <cellStyle name="Note 41" xfId="79" customBuiltin="1"/>
    <cellStyle name="Note 42" xfId="80" customBuiltin="1"/>
    <cellStyle name="Note 43" xfId="81" customBuiltin="1"/>
    <cellStyle name="Note 44" xfId="82" customBuiltin="1"/>
    <cellStyle name="Note 45" xfId="83" customBuiltin="1"/>
    <cellStyle name="Note 46" xfId="84" customBuiltin="1"/>
    <cellStyle name="Note 47" xfId="85" customBuiltin="1"/>
    <cellStyle name="Note 48" xfId="86" customBuiltin="1"/>
    <cellStyle name="Note 49" xfId="87" customBuiltin="1"/>
    <cellStyle name="Note 5" xfId="88" customBuiltin="1"/>
    <cellStyle name="Note 50" xfId="89" customBuiltin="1"/>
    <cellStyle name="Note 51" xfId="90" customBuiltin="1"/>
    <cellStyle name="Note 52" xfId="91" customBuiltin="1"/>
    <cellStyle name="Note 53" xfId="92" customBuiltin="1"/>
    <cellStyle name="Note 54" xfId="93" customBuiltin="1"/>
    <cellStyle name="Note 55" xfId="94" customBuiltin="1"/>
    <cellStyle name="Note 56" xfId="95" customBuiltin="1"/>
    <cellStyle name="Note 57" xfId="96" customBuiltin="1"/>
    <cellStyle name="Note 58" xfId="97" customBuiltin="1"/>
    <cellStyle name="Note 59" xfId="98" customBuiltin="1"/>
    <cellStyle name="Note 6" xfId="99" customBuiltin="1"/>
    <cellStyle name="Note 60" xfId="100" customBuiltin="1"/>
    <cellStyle name="Note 61" xfId="101" customBuiltin="1"/>
    <cellStyle name="Note 62" xfId="102" customBuiltin="1"/>
    <cellStyle name="Note 63" xfId="103" customBuiltin="1"/>
    <cellStyle name="Note 64" xfId="104" customBuiltin="1"/>
    <cellStyle name="Note 65" xfId="105" customBuiltin="1"/>
    <cellStyle name="Note 66" xfId="106"/>
    <cellStyle name="Note 7" xfId="107" customBuiltin="1"/>
    <cellStyle name="Note 8" xfId="108" customBuiltin="1"/>
    <cellStyle name="Note 9" xfId="109" customBuiltin="1"/>
    <cellStyle name="Output" xfId="110" builtinId="21" customBuiltin="1"/>
    <cellStyle name="Title" xfId="111" builtinId="15" customBuiltin="1"/>
    <cellStyle name="Total" xfId="112" builtinId="25" customBuiltin="1"/>
    <cellStyle name="Warning Text" xfId="11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3"/>
  <sheetViews>
    <sheetView tabSelected="1" view="pageLayout" zoomScaleNormal="100" zoomScaleSheetLayoutView="80" workbookViewId="0">
      <selection activeCell="F3" sqref="F3"/>
    </sheetView>
  </sheetViews>
  <sheetFormatPr defaultRowHeight="15"/>
  <cols>
    <col min="1" max="1" width="15.28515625" style="1" customWidth="1"/>
    <col min="2" max="2" width="9.28515625" style="2" bestFit="1" customWidth="1"/>
    <col min="3" max="3" width="10.28515625" style="2" customWidth="1"/>
    <col min="4" max="5" width="14" style="3" customWidth="1"/>
    <col min="6" max="6" width="34" style="1" customWidth="1"/>
    <col min="7" max="7" width="31.7109375" style="5" customWidth="1"/>
    <col min="8" max="9" width="15" style="18" customWidth="1"/>
    <col min="10" max="10" width="14.85546875" style="18" customWidth="1"/>
    <col min="11" max="11" width="17.140625" style="18" customWidth="1"/>
    <col min="12" max="16384" width="9.140625" style="1"/>
  </cols>
  <sheetData>
    <row r="1" spans="1:11" ht="30" customHeight="1">
      <c r="A1" s="22" t="s">
        <v>70</v>
      </c>
      <c r="B1" s="23" t="s">
        <v>58</v>
      </c>
      <c r="C1" s="23" t="s">
        <v>49</v>
      </c>
      <c r="D1" s="24" t="s">
        <v>1</v>
      </c>
      <c r="E1" s="24" t="s">
        <v>22</v>
      </c>
      <c r="F1" s="25" t="s">
        <v>71</v>
      </c>
      <c r="G1" s="26" t="s">
        <v>69</v>
      </c>
      <c r="H1" s="44" t="s">
        <v>48</v>
      </c>
      <c r="I1" s="44" t="s">
        <v>47</v>
      </c>
      <c r="J1" s="44" t="s">
        <v>53</v>
      </c>
      <c r="K1" s="44" t="s">
        <v>73</v>
      </c>
    </row>
    <row r="2" spans="1:11" s="4" customFormat="1" ht="30" customHeight="1">
      <c r="A2" s="66" t="s">
        <v>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5" customHeight="1">
      <c r="A3" s="1" t="str">
        <f t="shared" ref="A3:A49" si="0">LOOKUP(B3,$B$111:$B$123,$C$111:$C$123)</f>
        <v>Wrangell</v>
      </c>
      <c r="B3" s="56">
        <v>100522</v>
      </c>
      <c r="C3" s="57" t="s">
        <v>100</v>
      </c>
      <c r="D3" s="58">
        <v>39217</v>
      </c>
      <c r="E3" s="58">
        <v>41578</v>
      </c>
      <c r="F3" s="1" t="s">
        <v>6</v>
      </c>
      <c r="G3" s="1" t="s">
        <v>74</v>
      </c>
      <c r="H3" s="59">
        <v>4518</v>
      </c>
      <c r="I3" s="59">
        <v>752.64</v>
      </c>
      <c r="J3" s="59">
        <v>3765.36</v>
      </c>
      <c r="K3" s="60">
        <v>69691.14</v>
      </c>
    </row>
    <row r="4" spans="1:11" ht="15" customHeight="1">
      <c r="A4" s="1" t="str">
        <f t="shared" si="0"/>
        <v>Ketchikan</v>
      </c>
      <c r="B4" s="56">
        <v>100552</v>
      </c>
      <c r="C4" s="57" t="s">
        <v>257</v>
      </c>
      <c r="D4" s="58">
        <v>40442</v>
      </c>
      <c r="E4" s="58">
        <v>41943</v>
      </c>
      <c r="F4" s="1" t="s">
        <v>6</v>
      </c>
      <c r="G4" s="55" t="s">
        <v>253</v>
      </c>
      <c r="H4" s="59">
        <v>755</v>
      </c>
      <c r="I4" s="59">
        <v>0</v>
      </c>
      <c r="J4" s="59">
        <v>755</v>
      </c>
      <c r="K4" s="60">
        <v>51904.77</v>
      </c>
    </row>
    <row r="5" spans="1:11" ht="15" customHeight="1">
      <c r="A5" s="1" t="str">
        <f t="shared" si="0"/>
        <v>Wrangell</v>
      </c>
      <c r="B5" s="56">
        <v>100522</v>
      </c>
      <c r="C5" s="57" t="s">
        <v>99</v>
      </c>
      <c r="D5" s="58">
        <v>38657</v>
      </c>
      <c r="E5" s="58">
        <v>42500</v>
      </c>
      <c r="F5" s="1" t="s">
        <v>6</v>
      </c>
      <c r="G5" s="1" t="s">
        <v>50</v>
      </c>
      <c r="H5" s="59">
        <v>18640.91</v>
      </c>
      <c r="I5" s="59">
        <v>6525.32</v>
      </c>
      <c r="J5" s="59">
        <v>12115.59</v>
      </c>
      <c r="K5" s="60">
        <v>83822.59</v>
      </c>
    </row>
    <row r="6" spans="1:11" ht="15" customHeight="1">
      <c r="A6" s="1" t="str">
        <f t="shared" si="0"/>
        <v>Thorne Bay</v>
      </c>
      <c r="B6" s="56">
        <v>100554</v>
      </c>
      <c r="C6" s="57" t="s">
        <v>179</v>
      </c>
      <c r="D6" s="58">
        <v>40022</v>
      </c>
      <c r="E6" s="58">
        <v>40415</v>
      </c>
      <c r="F6" s="1" t="s">
        <v>85</v>
      </c>
      <c r="G6" s="7" t="s">
        <v>174</v>
      </c>
      <c r="H6" s="59">
        <v>32</v>
      </c>
      <c r="I6" s="59">
        <v>32</v>
      </c>
      <c r="J6" s="59">
        <v>0</v>
      </c>
      <c r="K6" s="60">
        <v>0</v>
      </c>
    </row>
    <row r="7" spans="1:11" ht="15" customHeight="1">
      <c r="A7" s="1" t="str">
        <f t="shared" si="0"/>
        <v>Thorne Bay</v>
      </c>
      <c r="B7" s="56">
        <v>100554</v>
      </c>
      <c r="C7" s="57" t="s">
        <v>215</v>
      </c>
      <c r="D7" s="58">
        <v>40309</v>
      </c>
      <c r="E7" s="58">
        <v>40695</v>
      </c>
      <c r="F7" s="1" t="s">
        <v>85</v>
      </c>
      <c r="G7" s="7" t="s">
        <v>213</v>
      </c>
      <c r="H7" s="59">
        <v>11</v>
      </c>
      <c r="I7" s="59">
        <v>0</v>
      </c>
      <c r="J7" s="59">
        <v>11</v>
      </c>
      <c r="K7" s="60">
        <v>3012.46</v>
      </c>
    </row>
    <row r="8" spans="1:11" ht="15" customHeight="1">
      <c r="A8" s="1" t="str">
        <f t="shared" si="0"/>
        <v>Craig</v>
      </c>
      <c r="B8" s="56">
        <v>100551</v>
      </c>
      <c r="C8" s="57" t="s">
        <v>115</v>
      </c>
      <c r="D8" s="58">
        <v>39637</v>
      </c>
      <c r="E8" s="58">
        <v>40481</v>
      </c>
      <c r="F8" s="1" t="s">
        <v>85</v>
      </c>
      <c r="G8" s="7" t="s">
        <v>93</v>
      </c>
      <c r="H8" s="59">
        <v>37.31</v>
      </c>
      <c r="I8" s="59">
        <v>37.31</v>
      </c>
      <c r="J8" s="59">
        <v>0</v>
      </c>
      <c r="K8" s="60">
        <v>0</v>
      </c>
    </row>
    <row r="9" spans="1:11" ht="15" customHeight="1">
      <c r="A9" s="1" t="str">
        <f t="shared" si="0"/>
        <v>Craig</v>
      </c>
      <c r="B9" s="56">
        <v>100551</v>
      </c>
      <c r="C9" s="57" t="s">
        <v>238</v>
      </c>
      <c r="D9" s="58">
        <v>40386</v>
      </c>
      <c r="E9" s="58">
        <v>40770</v>
      </c>
      <c r="F9" s="1" t="s">
        <v>85</v>
      </c>
      <c r="G9" s="7" t="s">
        <v>234</v>
      </c>
      <c r="H9" s="59">
        <v>20</v>
      </c>
      <c r="I9" s="59">
        <v>0</v>
      </c>
      <c r="J9" s="59">
        <v>20</v>
      </c>
      <c r="K9" s="60">
        <v>1187.3399999999999</v>
      </c>
    </row>
    <row r="10" spans="1:11" ht="15" customHeight="1">
      <c r="A10" s="1" t="str">
        <f t="shared" si="0"/>
        <v>Thorne Bay</v>
      </c>
      <c r="B10" s="56">
        <v>100554</v>
      </c>
      <c r="C10" s="57" t="s">
        <v>120</v>
      </c>
      <c r="D10" s="58">
        <v>38555</v>
      </c>
      <c r="E10" s="58">
        <v>40385</v>
      </c>
      <c r="F10" s="1" t="s">
        <v>45</v>
      </c>
      <c r="G10" s="1" t="s">
        <v>28</v>
      </c>
      <c r="H10" s="59">
        <v>470.4</v>
      </c>
      <c r="I10" s="59">
        <v>239.54</v>
      </c>
      <c r="J10" s="59">
        <v>230.86</v>
      </c>
      <c r="K10" s="60">
        <v>2162.4299999999998</v>
      </c>
    </row>
    <row r="11" spans="1:11" ht="15" customHeight="1">
      <c r="A11" s="1" t="str">
        <f t="shared" si="0"/>
        <v>Thorne Bay</v>
      </c>
      <c r="B11" s="56">
        <v>100554</v>
      </c>
      <c r="C11" s="57" t="s">
        <v>227</v>
      </c>
      <c r="D11" s="58">
        <v>40351</v>
      </c>
      <c r="E11" s="58">
        <v>40725</v>
      </c>
      <c r="F11" s="7" t="s">
        <v>90</v>
      </c>
      <c r="G11" s="7" t="s">
        <v>221</v>
      </c>
      <c r="H11" s="59">
        <v>9</v>
      </c>
      <c r="I11" s="59">
        <v>0</v>
      </c>
      <c r="J11" s="59">
        <v>9</v>
      </c>
      <c r="K11" s="60">
        <v>2250</v>
      </c>
    </row>
    <row r="12" spans="1:11" ht="15" customHeight="1">
      <c r="A12" s="1" t="str">
        <f t="shared" si="0"/>
        <v>Thorne Bay</v>
      </c>
      <c r="B12" s="56">
        <v>100554</v>
      </c>
      <c r="C12" s="57" t="s">
        <v>247</v>
      </c>
      <c r="D12" s="58">
        <v>40393</v>
      </c>
      <c r="E12" s="58">
        <v>40765</v>
      </c>
      <c r="F12" s="7" t="s">
        <v>90</v>
      </c>
      <c r="G12" s="7" t="s">
        <v>242</v>
      </c>
      <c r="H12" s="59">
        <v>13</v>
      </c>
      <c r="I12" s="59">
        <v>0</v>
      </c>
      <c r="J12" s="59">
        <v>13</v>
      </c>
      <c r="K12" s="60">
        <v>461.64</v>
      </c>
    </row>
    <row r="13" spans="1:11" ht="15" customHeight="1">
      <c r="A13" s="1" t="str">
        <f t="shared" si="0"/>
        <v>Thorne Bay</v>
      </c>
      <c r="B13" s="56">
        <v>100554</v>
      </c>
      <c r="C13" s="57" t="s">
        <v>163</v>
      </c>
      <c r="D13" s="58">
        <v>39714</v>
      </c>
      <c r="E13" s="58">
        <v>40847</v>
      </c>
      <c r="F13" s="7" t="s">
        <v>90</v>
      </c>
      <c r="G13" s="7" t="s">
        <v>162</v>
      </c>
      <c r="H13" s="59">
        <v>722.49</v>
      </c>
      <c r="I13" s="59">
        <v>601.62</v>
      </c>
      <c r="J13" s="59">
        <v>120.87</v>
      </c>
      <c r="K13" s="60">
        <v>2112.81</v>
      </c>
    </row>
    <row r="14" spans="1:11" ht="15" customHeight="1">
      <c r="A14" s="1" t="str">
        <f t="shared" si="0"/>
        <v>Hoonah</v>
      </c>
      <c r="B14" s="56">
        <v>100532</v>
      </c>
      <c r="C14" s="57" t="s">
        <v>105</v>
      </c>
      <c r="D14" s="58">
        <v>38951</v>
      </c>
      <c r="E14" s="58">
        <v>40482</v>
      </c>
      <c r="F14" s="1" t="s">
        <v>43</v>
      </c>
      <c r="G14" s="1" t="s">
        <v>59</v>
      </c>
      <c r="H14" s="59">
        <v>233</v>
      </c>
      <c r="I14" s="59">
        <v>61.5</v>
      </c>
      <c r="J14" s="59">
        <v>171.5</v>
      </c>
      <c r="K14" s="60">
        <v>1942.27</v>
      </c>
    </row>
    <row r="15" spans="1:11" ht="15" customHeight="1">
      <c r="A15" s="1" t="str">
        <f t="shared" si="0"/>
        <v>Hoonah</v>
      </c>
      <c r="B15" s="56">
        <v>100532</v>
      </c>
      <c r="C15" s="57" t="s">
        <v>248</v>
      </c>
      <c r="D15" s="58">
        <v>40393</v>
      </c>
      <c r="E15" s="58">
        <v>41578</v>
      </c>
      <c r="F15" s="1" t="s">
        <v>43</v>
      </c>
      <c r="G15" s="54" t="s">
        <v>243</v>
      </c>
      <c r="H15" s="59">
        <v>137</v>
      </c>
      <c r="I15" s="59">
        <v>0</v>
      </c>
      <c r="J15" s="59">
        <v>137</v>
      </c>
      <c r="K15" s="60">
        <v>17205.75</v>
      </c>
    </row>
    <row r="16" spans="1:11" ht="15" customHeight="1">
      <c r="A16" s="1" t="str">
        <f t="shared" si="0"/>
        <v>Hoonah</v>
      </c>
      <c r="B16" s="56">
        <v>100532</v>
      </c>
      <c r="C16" s="57" t="s">
        <v>249</v>
      </c>
      <c r="D16" s="58">
        <v>40393</v>
      </c>
      <c r="E16" s="58">
        <v>41578</v>
      </c>
      <c r="F16" s="1" t="s">
        <v>43</v>
      </c>
      <c r="G16" s="54" t="s">
        <v>244</v>
      </c>
      <c r="H16" s="59">
        <v>28</v>
      </c>
      <c r="I16" s="59">
        <v>0</v>
      </c>
      <c r="J16" s="59">
        <v>28</v>
      </c>
      <c r="K16" s="60">
        <v>4831.0600000000004</v>
      </c>
    </row>
    <row r="17" spans="1:11" ht="15" customHeight="1">
      <c r="A17" s="1" t="str">
        <f t="shared" si="0"/>
        <v>Juneau</v>
      </c>
      <c r="B17" s="56">
        <v>100533</v>
      </c>
      <c r="C17" s="57" t="s">
        <v>164</v>
      </c>
      <c r="D17" s="58">
        <v>39778</v>
      </c>
      <c r="E17" s="58">
        <v>42308</v>
      </c>
      <c r="F17" s="7" t="s">
        <v>160</v>
      </c>
      <c r="G17" s="7" t="s">
        <v>161</v>
      </c>
      <c r="H17" s="59">
        <v>3601</v>
      </c>
      <c r="I17" s="59">
        <v>0</v>
      </c>
      <c r="J17" s="59">
        <v>3601</v>
      </c>
      <c r="K17" s="60">
        <v>181037.1</v>
      </c>
    </row>
    <row r="18" spans="1:11" ht="15" customHeight="1">
      <c r="A18" s="1" t="str">
        <f t="shared" si="0"/>
        <v>Thorne Bay</v>
      </c>
      <c r="B18" s="56">
        <v>100554</v>
      </c>
      <c r="C18" s="57" t="s">
        <v>124</v>
      </c>
      <c r="D18" s="58">
        <v>38931</v>
      </c>
      <c r="E18" s="58">
        <v>40847</v>
      </c>
      <c r="F18" s="1" t="s">
        <v>12</v>
      </c>
      <c r="G18" s="7" t="s">
        <v>60</v>
      </c>
      <c r="H18" s="59">
        <v>201.4</v>
      </c>
      <c r="I18" s="59">
        <v>165.4</v>
      </c>
      <c r="J18" s="59">
        <v>36</v>
      </c>
      <c r="K18" s="60">
        <v>1077.42</v>
      </c>
    </row>
    <row r="19" spans="1:11" ht="15" customHeight="1">
      <c r="A19" s="1" t="str">
        <f t="shared" si="0"/>
        <v>Wrangell</v>
      </c>
      <c r="B19" s="56">
        <v>100522</v>
      </c>
      <c r="C19" s="57" t="s">
        <v>101</v>
      </c>
      <c r="D19" s="58">
        <v>39238</v>
      </c>
      <c r="E19" s="58">
        <v>40847</v>
      </c>
      <c r="F19" s="1" t="s">
        <v>12</v>
      </c>
      <c r="G19" s="1" t="s">
        <v>72</v>
      </c>
      <c r="H19" s="59">
        <v>208</v>
      </c>
      <c r="I19" s="59">
        <v>0</v>
      </c>
      <c r="J19" s="59">
        <v>208</v>
      </c>
      <c r="K19" s="60">
        <v>14226</v>
      </c>
    </row>
    <row r="20" spans="1:11" ht="15" customHeight="1">
      <c r="A20" s="1" t="str">
        <f t="shared" si="0"/>
        <v>Thorne Bay</v>
      </c>
      <c r="B20" s="56">
        <v>100554</v>
      </c>
      <c r="C20" s="57" t="s">
        <v>146</v>
      </c>
      <c r="D20" s="58">
        <v>39700</v>
      </c>
      <c r="E20" s="58">
        <v>40847</v>
      </c>
      <c r="F20" s="1" t="s">
        <v>12</v>
      </c>
      <c r="G20" s="1" t="s">
        <v>136</v>
      </c>
      <c r="H20" s="59">
        <v>737</v>
      </c>
      <c r="I20" s="59">
        <v>302.77</v>
      </c>
      <c r="J20" s="59">
        <v>434.23</v>
      </c>
      <c r="K20" s="60">
        <v>20764.900000000001</v>
      </c>
    </row>
    <row r="21" spans="1:11" ht="15" customHeight="1">
      <c r="A21" s="1" t="str">
        <f t="shared" si="0"/>
        <v>Thorne Bay</v>
      </c>
      <c r="B21" s="56">
        <v>100554</v>
      </c>
      <c r="C21" s="57" t="s">
        <v>258</v>
      </c>
      <c r="D21" s="58">
        <v>40400</v>
      </c>
      <c r="E21" s="58">
        <v>41578</v>
      </c>
      <c r="F21" s="1" t="s">
        <v>12</v>
      </c>
      <c r="G21" s="1" t="s">
        <v>254</v>
      </c>
      <c r="H21" s="59">
        <v>288</v>
      </c>
      <c r="I21" s="59">
        <v>0</v>
      </c>
      <c r="J21" s="59">
        <v>288</v>
      </c>
      <c r="K21" s="60">
        <v>31075.26</v>
      </c>
    </row>
    <row r="22" spans="1:11" ht="15" customHeight="1">
      <c r="A22" s="1" t="str">
        <f t="shared" si="0"/>
        <v>Sitka</v>
      </c>
      <c r="B22" s="56">
        <v>100531</v>
      </c>
      <c r="C22" s="57" t="s">
        <v>102</v>
      </c>
      <c r="D22" s="58">
        <v>39251</v>
      </c>
      <c r="E22" s="58">
        <v>41455</v>
      </c>
      <c r="F22" s="1" t="s">
        <v>75</v>
      </c>
      <c r="G22" s="1" t="s">
        <v>76</v>
      </c>
      <c r="H22" s="59">
        <v>71.290000000000006</v>
      </c>
      <c r="I22" s="59">
        <v>0</v>
      </c>
      <c r="J22" s="59">
        <v>71.290000000000006</v>
      </c>
      <c r="K22" s="60">
        <v>1312.08</v>
      </c>
    </row>
    <row r="23" spans="1:11" ht="15" customHeight="1">
      <c r="A23" s="1" t="str">
        <f t="shared" si="0"/>
        <v>Sitka</v>
      </c>
      <c r="B23" s="56">
        <v>100531</v>
      </c>
      <c r="C23" s="57" t="s">
        <v>187</v>
      </c>
      <c r="D23" s="58">
        <v>40071</v>
      </c>
      <c r="E23" s="58">
        <v>41213</v>
      </c>
      <c r="F23" s="1" t="s">
        <v>75</v>
      </c>
      <c r="G23" s="1" t="s">
        <v>184</v>
      </c>
      <c r="H23" s="59">
        <v>101</v>
      </c>
      <c r="I23" s="59">
        <v>0</v>
      </c>
      <c r="J23" s="59">
        <v>101</v>
      </c>
      <c r="K23" s="60">
        <v>830.06</v>
      </c>
    </row>
    <row r="24" spans="1:11" ht="15" customHeight="1">
      <c r="A24" s="1" t="str">
        <f t="shared" si="0"/>
        <v>Craig</v>
      </c>
      <c r="B24" s="56">
        <v>100551</v>
      </c>
      <c r="C24" s="57" t="s">
        <v>112</v>
      </c>
      <c r="D24" s="58">
        <v>38546</v>
      </c>
      <c r="E24" s="58">
        <v>40847</v>
      </c>
      <c r="F24" s="1" t="s">
        <v>46</v>
      </c>
      <c r="G24" s="1" t="s">
        <v>26</v>
      </c>
      <c r="H24" s="59">
        <v>142.63999999999999</v>
      </c>
      <c r="I24" s="59">
        <v>103.68</v>
      </c>
      <c r="J24" s="59">
        <v>38.96</v>
      </c>
      <c r="K24" s="60">
        <v>1385.36</v>
      </c>
    </row>
    <row r="25" spans="1:11" ht="15" customHeight="1">
      <c r="A25" s="1" t="str">
        <f t="shared" si="0"/>
        <v>Thorne Bay</v>
      </c>
      <c r="B25" s="56">
        <v>100554</v>
      </c>
      <c r="C25" s="57" t="s">
        <v>132</v>
      </c>
      <c r="D25" s="58">
        <v>39406</v>
      </c>
      <c r="E25" s="58">
        <v>41424</v>
      </c>
      <c r="F25" s="1" t="s">
        <v>46</v>
      </c>
      <c r="G25" s="1" t="s">
        <v>86</v>
      </c>
      <c r="H25" s="59">
        <v>233</v>
      </c>
      <c r="I25" s="59">
        <v>0</v>
      </c>
      <c r="J25" s="59">
        <v>233</v>
      </c>
      <c r="K25" s="60">
        <v>6351.1</v>
      </c>
    </row>
    <row r="26" spans="1:11" ht="15" customHeight="1">
      <c r="A26" s="1" t="str">
        <f t="shared" si="0"/>
        <v>Craig</v>
      </c>
      <c r="B26" s="56">
        <v>100551</v>
      </c>
      <c r="C26" s="57" t="s">
        <v>113</v>
      </c>
      <c r="D26" s="58">
        <v>38643</v>
      </c>
      <c r="E26" s="58">
        <v>40847</v>
      </c>
      <c r="F26" s="1" t="s">
        <v>46</v>
      </c>
      <c r="G26" s="1" t="s">
        <v>30</v>
      </c>
      <c r="H26" s="59">
        <v>144.72999999999999</v>
      </c>
      <c r="I26" s="59">
        <v>90</v>
      </c>
      <c r="J26" s="59">
        <v>54.73</v>
      </c>
      <c r="K26" s="60">
        <v>862.35</v>
      </c>
    </row>
    <row r="27" spans="1:11" ht="15" customHeight="1">
      <c r="A27" s="1" t="str">
        <f t="shared" si="0"/>
        <v>Thorne Bay</v>
      </c>
      <c r="B27" s="56">
        <v>100554</v>
      </c>
      <c r="C27" s="57" t="s">
        <v>129</v>
      </c>
      <c r="D27" s="58">
        <v>39063</v>
      </c>
      <c r="E27" s="58">
        <v>41213</v>
      </c>
      <c r="F27" s="1" t="s">
        <v>46</v>
      </c>
      <c r="G27" s="1" t="s">
        <v>68</v>
      </c>
      <c r="H27" s="59">
        <v>684</v>
      </c>
      <c r="I27" s="59">
        <v>216</v>
      </c>
      <c r="J27" s="59">
        <v>468</v>
      </c>
      <c r="K27" s="60">
        <v>28730.91</v>
      </c>
    </row>
    <row r="28" spans="1:11" ht="15" customHeight="1">
      <c r="A28" s="1" t="str">
        <f t="shared" si="0"/>
        <v>Admirality</v>
      </c>
      <c r="B28" s="56">
        <v>100534</v>
      </c>
      <c r="C28" s="57" t="s">
        <v>156</v>
      </c>
      <c r="D28" s="58">
        <v>39735</v>
      </c>
      <c r="E28" s="58">
        <v>40847</v>
      </c>
      <c r="F28" s="29" t="s">
        <v>154</v>
      </c>
      <c r="G28" s="1" t="s">
        <v>155</v>
      </c>
      <c r="H28" s="59">
        <v>19</v>
      </c>
      <c r="I28" s="59">
        <v>0</v>
      </c>
      <c r="J28" s="59">
        <v>19</v>
      </c>
      <c r="K28" s="60">
        <v>128</v>
      </c>
    </row>
    <row r="29" spans="1:11" ht="15" customHeight="1">
      <c r="A29" s="1" t="str">
        <f t="shared" si="0"/>
        <v>Admirality</v>
      </c>
      <c r="B29" s="56">
        <v>100534</v>
      </c>
      <c r="C29" s="57" t="s">
        <v>201</v>
      </c>
      <c r="D29" s="58">
        <v>40248</v>
      </c>
      <c r="E29" s="58">
        <v>41213</v>
      </c>
      <c r="F29" s="29" t="s">
        <v>154</v>
      </c>
      <c r="G29" s="35" t="s">
        <v>199</v>
      </c>
      <c r="H29" s="59">
        <v>238</v>
      </c>
      <c r="I29" s="59">
        <v>0</v>
      </c>
      <c r="J29" s="59">
        <v>238</v>
      </c>
      <c r="K29" s="60">
        <v>996</v>
      </c>
    </row>
    <row r="30" spans="1:11" ht="15" customHeight="1">
      <c r="A30" s="1" t="str">
        <f t="shared" si="0"/>
        <v>Juneau</v>
      </c>
      <c r="B30" s="56">
        <v>100533</v>
      </c>
      <c r="C30" s="57" t="s">
        <v>202</v>
      </c>
      <c r="D30" s="58">
        <v>40263</v>
      </c>
      <c r="E30" s="58">
        <v>41213</v>
      </c>
      <c r="F30" s="29" t="s">
        <v>154</v>
      </c>
      <c r="G30" s="35" t="s">
        <v>200</v>
      </c>
      <c r="H30" s="59">
        <v>171</v>
      </c>
      <c r="I30" s="59">
        <v>0</v>
      </c>
      <c r="J30" s="59">
        <v>171</v>
      </c>
      <c r="K30" s="60">
        <v>792</v>
      </c>
    </row>
    <row r="31" spans="1:11" ht="15" customHeight="1">
      <c r="A31" s="1" t="str">
        <f t="shared" si="0"/>
        <v>Hoonah</v>
      </c>
      <c r="B31" s="56">
        <v>100532</v>
      </c>
      <c r="C31" s="57" t="s">
        <v>109</v>
      </c>
      <c r="D31" s="58">
        <v>39336</v>
      </c>
      <c r="E31" s="58">
        <v>40482</v>
      </c>
      <c r="F31" s="1" t="s">
        <v>8</v>
      </c>
      <c r="G31" s="7" t="s">
        <v>77</v>
      </c>
      <c r="H31" s="59">
        <v>146</v>
      </c>
      <c r="I31" s="59">
        <v>0</v>
      </c>
      <c r="J31" s="59">
        <v>146</v>
      </c>
      <c r="K31" s="60">
        <v>2344.12</v>
      </c>
    </row>
    <row r="32" spans="1:11" ht="15" customHeight="1">
      <c r="A32" s="1" t="str">
        <f t="shared" si="0"/>
        <v>Hoonah</v>
      </c>
      <c r="B32" s="56">
        <v>100532</v>
      </c>
      <c r="C32" s="57" t="s">
        <v>108</v>
      </c>
      <c r="D32" s="58">
        <v>39336</v>
      </c>
      <c r="E32" s="58">
        <v>40482</v>
      </c>
      <c r="F32" s="1" t="s">
        <v>8</v>
      </c>
      <c r="G32" s="7" t="s">
        <v>78</v>
      </c>
      <c r="H32" s="59">
        <v>176</v>
      </c>
      <c r="I32" s="59">
        <v>0</v>
      </c>
      <c r="J32" s="59">
        <v>176</v>
      </c>
      <c r="K32" s="60">
        <v>3124.7</v>
      </c>
    </row>
    <row r="33" spans="1:11" ht="15" customHeight="1">
      <c r="A33" s="1" t="str">
        <f t="shared" si="0"/>
        <v>Hoonah</v>
      </c>
      <c r="B33" s="56">
        <v>100532</v>
      </c>
      <c r="C33" s="57" t="s">
        <v>180</v>
      </c>
      <c r="D33" s="58">
        <v>39973</v>
      </c>
      <c r="E33" s="58">
        <v>40847</v>
      </c>
      <c r="F33" s="1" t="s">
        <v>8</v>
      </c>
      <c r="G33" s="7" t="s">
        <v>175</v>
      </c>
      <c r="H33" s="59">
        <v>279</v>
      </c>
      <c r="I33" s="59">
        <v>0</v>
      </c>
      <c r="J33" s="59">
        <v>279</v>
      </c>
      <c r="K33" s="60">
        <v>4603.16</v>
      </c>
    </row>
    <row r="34" spans="1:11" ht="15" customHeight="1">
      <c r="A34" s="1" t="str">
        <f t="shared" si="0"/>
        <v>Hoonah</v>
      </c>
      <c r="B34" s="56">
        <v>100532</v>
      </c>
      <c r="C34" s="57" t="s">
        <v>181</v>
      </c>
      <c r="D34" s="58">
        <v>39973</v>
      </c>
      <c r="E34" s="58">
        <v>40847</v>
      </c>
      <c r="F34" s="1" t="s">
        <v>8</v>
      </c>
      <c r="G34" s="7" t="s">
        <v>176</v>
      </c>
      <c r="H34" s="59">
        <v>76</v>
      </c>
      <c r="I34" s="59">
        <v>0</v>
      </c>
      <c r="J34" s="59">
        <v>76</v>
      </c>
      <c r="K34" s="60">
        <v>1066.72</v>
      </c>
    </row>
    <row r="35" spans="1:11" ht="15" customHeight="1">
      <c r="A35" s="1" t="str">
        <f t="shared" si="0"/>
        <v>Hoonah</v>
      </c>
      <c r="B35" s="56">
        <v>100532</v>
      </c>
      <c r="C35" s="57" t="s">
        <v>103</v>
      </c>
      <c r="D35" s="58">
        <v>38286</v>
      </c>
      <c r="E35" s="58">
        <v>41943</v>
      </c>
      <c r="F35" s="1" t="s">
        <v>8</v>
      </c>
      <c r="G35" s="7" t="s">
        <v>10</v>
      </c>
      <c r="H35" s="59">
        <v>8222.48</v>
      </c>
      <c r="I35" s="59">
        <v>98.05</v>
      </c>
      <c r="J35" s="59">
        <v>8124.43</v>
      </c>
      <c r="K35" s="60">
        <v>56559.74</v>
      </c>
    </row>
    <row r="36" spans="1:11" ht="15" customHeight="1">
      <c r="A36" s="1" t="str">
        <f t="shared" si="0"/>
        <v>Hoonah</v>
      </c>
      <c r="B36" s="56">
        <v>100532</v>
      </c>
      <c r="C36" s="57" t="s">
        <v>250</v>
      </c>
      <c r="D36" s="58">
        <v>40393</v>
      </c>
      <c r="E36" s="58">
        <v>41578</v>
      </c>
      <c r="F36" s="1" t="s">
        <v>8</v>
      </c>
      <c r="G36" s="7" t="s">
        <v>245</v>
      </c>
      <c r="H36" s="59">
        <v>130</v>
      </c>
      <c r="I36" s="59">
        <v>0</v>
      </c>
      <c r="J36" s="59">
        <v>130</v>
      </c>
      <c r="K36" s="60">
        <v>4033.56</v>
      </c>
    </row>
    <row r="37" spans="1:11" ht="15" customHeight="1">
      <c r="A37" s="1" t="str">
        <f t="shared" si="0"/>
        <v>Hoonah</v>
      </c>
      <c r="B37" s="56">
        <v>100532</v>
      </c>
      <c r="C37" s="57" t="s">
        <v>147</v>
      </c>
      <c r="D37" s="58">
        <v>39693</v>
      </c>
      <c r="E37" s="58">
        <v>40846</v>
      </c>
      <c r="F37" s="1" t="s">
        <v>8</v>
      </c>
      <c r="G37" s="7" t="s">
        <v>137</v>
      </c>
      <c r="H37" s="59">
        <v>104</v>
      </c>
      <c r="I37" s="59">
        <v>0</v>
      </c>
      <c r="J37" s="59">
        <v>104</v>
      </c>
      <c r="K37" s="60">
        <v>2035.23</v>
      </c>
    </row>
    <row r="38" spans="1:11" ht="15" customHeight="1">
      <c r="A38" s="1" t="str">
        <f t="shared" si="0"/>
        <v>Hoonah</v>
      </c>
      <c r="B38" s="56">
        <v>100532</v>
      </c>
      <c r="C38" s="57" t="s">
        <v>106</v>
      </c>
      <c r="D38" s="58">
        <v>39336</v>
      </c>
      <c r="E38" s="58">
        <v>40482</v>
      </c>
      <c r="F38" s="1" t="s">
        <v>8</v>
      </c>
      <c r="G38" s="7" t="s">
        <v>79</v>
      </c>
      <c r="H38" s="59">
        <v>200</v>
      </c>
      <c r="I38" s="59">
        <v>0</v>
      </c>
      <c r="J38" s="59">
        <v>200</v>
      </c>
      <c r="K38" s="60">
        <v>1894.1</v>
      </c>
    </row>
    <row r="39" spans="1:11" ht="15" customHeight="1">
      <c r="A39" s="1" t="str">
        <f t="shared" si="0"/>
        <v>Hoonah</v>
      </c>
      <c r="B39" s="56">
        <v>100532</v>
      </c>
      <c r="C39" s="57" t="s">
        <v>107</v>
      </c>
      <c r="D39" s="58">
        <v>39336</v>
      </c>
      <c r="E39" s="58">
        <v>40482</v>
      </c>
      <c r="F39" s="1" t="s">
        <v>8</v>
      </c>
      <c r="G39" s="7" t="s">
        <v>80</v>
      </c>
      <c r="H39" s="59">
        <v>248</v>
      </c>
      <c r="I39" s="59">
        <v>0</v>
      </c>
      <c r="J39" s="59">
        <v>248</v>
      </c>
      <c r="K39" s="60">
        <v>2565.62</v>
      </c>
    </row>
    <row r="40" spans="1:11" ht="15" customHeight="1">
      <c r="A40" s="1" t="str">
        <f t="shared" si="0"/>
        <v>Hoonah</v>
      </c>
      <c r="B40" s="56">
        <v>100532</v>
      </c>
      <c r="C40" s="57" t="s">
        <v>110</v>
      </c>
      <c r="D40" s="58">
        <v>39609</v>
      </c>
      <c r="E40" s="58">
        <v>40847</v>
      </c>
      <c r="F40" s="1" t="s">
        <v>8</v>
      </c>
      <c r="G40" s="7" t="s">
        <v>94</v>
      </c>
      <c r="H40" s="59">
        <v>247</v>
      </c>
      <c r="I40" s="59">
        <v>0</v>
      </c>
      <c r="J40" s="59">
        <v>247</v>
      </c>
      <c r="K40" s="60">
        <v>3198.89</v>
      </c>
    </row>
    <row r="41" spans="1:11" ht="15" customHeight="1">
      <c r="A41" s="1" t="str">
        <f t="shared" si="0"/>
        <v>Thorne Bay</v>
      </c>
      <c r="B41" s="56">
        <v>100554</v>
      </c>
      <c r="C41" s="57" t="s">
        <v>135</v>
      </c>
      <c r="D41" s="58">
        <v>39637</v>
      </c>
      <c r="E41" s="58">
        <v>41090</v>
      </c>
      <c r="F41" s="1" t="s">
        <v>25</v>
      </c>
      <c r="G41" s="1" t="s">
        <v>134</v>
      </c>
      <c r="H41" s="59">
        <v>285</v>
      </c>
      <c r="I41" s="59">
        <v>0</v>
      </c>
      <c r="J41" s="59">
        <v>285</v>
      </c>
      <c r="K41" s="60">
        <v>12463.95</v>
      </c>
    </row>
    <row r="42" spans="1:11" ht="15" customHeight="1">
      <c r="A42" s="1" t="str">
        <f t="shared" si="0"/>
        <v>Thorne Bay</v>
      </c>
      <c r="B42" s="56">
        <v>100554</v>
      </c>
      <c r="C42" s="57" t="s">
        <v>127</v>
      </c>
      <c r="D42" s="58">
        <v>39021</v>
      </c>
      <c r="E42" s="58">
        <v>41213</v>
      </c>
      <c r="F42" s="1" t="s">
        <v>25</v>
      </c>
      <c r="G42" s="1" t="s">
        <v>64</v>
      </c>
      <c r="H42" s="59">
        <v>410.14</v>
      </c>
      <c r="I42" s="59">
        <v>217.14</v>
      </c>
      <c r="J42" s="59">
        <v>193</v>
      </c>
      <c r="K42" s="60">
        <v>9665.7999999999993</v>
      </c>
    </row>
    <row r="43" spans="1:11" ht="15" customHeight="1">
      <c r="A43" s="1" t="str">
        <f t="shared" si="0"/>
        <v>Petersburg</v>
      </c>
      <c r="B43" s="56">
        <v>100521</v>
      </c>
      <c r="C43" s="57" t="s">
        <v>170</v>
      </c>
      <c r="D43" s="58">
        <v>39938</v>
      </c>
      <c r="E43" s="58">
        <v>40482</v>
      </c>
      <c r="F43" s="7" t="s">
        <v>81</v>
      </c>
      <c r="G43" s="7" t="s">
        <v>169</v>
      </c>
      <c r="H43" s="59">
        <v>72</v>
      </c>
      <c r="I43" s="59">
        <v>40.5</v>
      </c>
      <c r="J43" s="59">
        <v>31.5</v>
      </c>
      <c r="K43" s="60">
        <v>167.16</v>
      </c>
    </row>
    <row r="44" spans="1:11" ht="15" customHeight="1">
      <c r="A44" s="1" t="str">
        <f t="shared" si="0"/>
        <v>Craig</v>
      </c>
      <c r="B44" s="56">
        <v>100551</v>
      </c>
      <c r="C44" s="57" t="s">
        <v>211</v>
      </c>
      <c r="D44" s="58">
        <v>40274</v>
      </c>
      <c r="E44" s="58">
        <v>40669</v>
      </c>
      <c r="F44" s="41" t="s">
        <v>207</v>
      </c>
      <c r="G44" s="41" t="s">
        <v>208</v>
      </c>
      <c r="H44" s="59">
        <v>4</v>
      </c>
      <c r="I44" s="59">
        <v>0</v>
      </c>
      <c r="J44" s="59">
        <v>4</v>
      </c>
      <c r="K44" s="60">
        <v>25</v>
      </c>
    </row>
    <row r="45" spans="1:11" ht="15" customHeight="1">
      <c r="A45" s="1" t="str">
        <f t="shared" si="0"/>
        <v>Thorne Bay</v>
      </c>
      <c r="B45" s="56">
        <v>100554</v>
      </c>
      <c r="C45" s="57" t="s">
        <v>130</v>
      </c>
      <c r="D45" s="58">
        <v>39351</v>
      </c>
      <c r="E45" s="58">
        <v>41182</v>
      </c>
      <c r="F45" s="1" t="s">
        <v>7</v>
      </c>
      <c r="G45" s="1" t="s">
        <v>87</v>
      </c>
      <c r="H45" s="59">
        <v>214</v>
      </c>
      <c r="I45" s="59">
        <v>0</v>
      </c>
      <c r="J45" s="59">
        <v>214</v>
      </c>
      <c r="K45" s="60">
        <v>28273.07</v>
      </c>
    </row>
    <row r="46" spans="1:11" ht="15" customHeight="1">
      <c r="A46" s="1" t="str">
        <f t="shared" si="0"/>
        <v>Thorne Bay</v>
      </c>
      <c r="B46" s="56">
        <v>100554</v>
      </c>
      <c r="C46" s="57" t="s">
        <v>148</v>
      </c>
      <c r="D46" s="58">
        <v>39700</v>
      </c>
      <c r="E46" s="58">
        <v>41213</v>
      </c>
      <c r="F46" s="1" t="s">
        <v>7</v>
      </c>
      <c r="G46" s="1" t="s">
        <v>138</v>
      </c>
      <c r="H46" s="59">
        <v>312</v>
      </c>
      <c r="I46" s="59">
        <v>0</v>
      </c>
      <c r="J46" s="59">
        <v>312</v>
      </c>
      <c r="K46" s="60">
        <v>19858.63</v>
      </c>
    </row>
    <row r="47" spans="1:11" ht="15" customHeight="1">
      <c r="A47" s="1" t="str">
        <f t="shared" si="0"/>
        <v>Thorne Bay</v>
      </c>
      <c r="B47" s="56">
        <v>100554</v>
      </c>
      <c r="C47" s="57" t="s">
        <v>128</v>
      </c>
      <c r="D47" s="58">
        <v>39021</v>
      </c>
      <c r="E47" s="58">
        <v>41213</v>
      </c>
      <c r="F47" s="1" t="s">
        <v>7</v>
      </c>
      <c r="G47" s="1" t="s">
        <v>65</v>
      </c>
      <c r="H47" s="59">
        <v>373</v>
      </c>
      <c r="I47" s="59">
        <v>0</v>
      </c>
      <c r="J47" s="59">
        <v>373</v>
      </c>
      <c r="K47" s="60">
        <v>35413.040000000001</v>
      </c>
    </row>
    <row r="48" spans="1:11" ht="15" customHeight="1">
      <c r="A48" s="1" t="str">
        <f t="shared" si="0"/>
        <v>Thorne Bay</v>
      </c>
      <c r="B48" s="56">
        <v>100554</v>
      </c>
      <c r="C48" s="57" t="s">
        <v>228</v>
      </c>
      <c r="D48" s="58">
        <v>40351</v>
      </c>
      <c r="E48" s="58">
        <v>40739</v>
      </c>
      <c r="F48" s="1" t="s">
        <v>222</v>
      </c>
      <c r="G48" s="1" t="s">
        <v>223</v>
      </c>
      <c r="H48" s="59">
        <v>7</v>
      </c>
      <c r="I48" s="59">
        <v>0</v>
      </c>
      <c r="J48" s="59">
        <v>7</v>
      </c>
      <c r="K48" s="60">
        <v>100</v>
      </c>
    </row>
    <row r="49" spans="1:11" ht="15" customHeight="1">
      <c r="A49" s="1" t="str">
        <f t="shared" si="0"/>
        <v>Thorne Bay</v>
      </c>
      <c r="B49" s="56">
        <v>100554</v>
      </c>
      <c r="C49" s="57" t="s">
        <v>229</v>
      </c>
      <c r="D49" s="58">
        <v>40337</v>
      </c>
      <c r="E49" s="58">
        <v>40725</v>
      </c>
      <c r="F49" s="1" t="s">
        <v>36</v>
      </c>
      <c r="G49" s="1" t="s">
        <v>224</v>
      </c>
      <c r="H49" s="59">
        <v>3</v>
      </c>
      <c r="I49" s="59">
        <v>3</v>
      </c>
      <c r="J49" s="59">
        <v>0</v>
      </c>
      <c r="K49" s="60">
        <v>0</v>
      </c>
    </row>
    <row r="50" spans="1:11" ht="30" customHeight="1">
      <c r="A50" s="22" t="s">
        <v>70</v>
      </c>
      <c r="B50" s="23" t="s">
        <v>58</v>
      </c>
      <c r="C50" s="23" t="s">
        <v>49</v>
      </c>
      <c r="D50" s="24" t="s">
        <v>1</v>
      </c>
      <c r="E50" s="24" t="s">
        <v>22</v>
      </c>
      <c r="F50" s="25" t="s">
        <v>71</v>
      </c>
      <c r="G50" s="26" t="s">
        <v>69</v>
      </c>
      <c r="H50" s="44" t="s">
        <v>48</v>
      </c>
      <c r="I50" s="44" t="s">
        <v>47</v>
      </c>
      <c r="J50" s="44" t="s">
        <v>53</v>
      </c>
      <c r="K50" s="44" t="s">
        <v>73</v>
      </c>
    </row>
    <row r="51" spans="1:11" s="4" customFormat="1" ht="30" customHeight="1">
      <c r="A51" s="66" t="s">
        <v>4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 ht="15" customHeight="1">
      <c r="A52" s="1" t="str">
        <f>LOOKUP(B52,$B$111:$B$123,$C$111:$C$123)</f>
        <v>Thorne Bay</v>
      </c>
      <c r="B52" s="61">
        <v>100554</v>
      </c>
      <c r="C52" s="62" t="s">
        <v>239</v>
      </c>
      <c r="D52" s="63">
        <v>40358</v>
      </c>
      <c r="E52" s="63">
        <v>40744</v>
      </c>
      <c r="F52" s="1" t="s">
        <v>36</v>
      </c>
      <c r="G52" s="1" t="s">
        <v>235</v>
      </c>
      <c r="H52" s="64">
        <v>5</v>
      </c>
      <c r="I52" s="64">
        <v>0</v>
      </c>
      <c r="J52" s="64">
        <v>5</v>
      </c>
      <c r="K52" s="65">
        <v>164.3</v>
      </c>
    </row>
    <row r="53" spans="1:11" ht="15" customHeight="1">
      <c r="A53" s="1" t="str">
        <f t="shared" ref="A53:A61" si="1">LOOKUP(B53,$B$111:$B$123,$C$111:$C$123)</f>
        <v>Thorne Bay</v>
      </c>
      <c r="B53" s="61">
        <v>100554</v>
      </c>
      <c r="C53" s="62" t="s">
        <v>240</v>
      </c>
      <c r="D53" s="63">
        <v>40379</v>
      </c>
      <c r="E53" s="63">
        <v>40756</v>
      </c>
      <c r="F53" s="1" t="s">
        <v>36</v>
      </c>
      <c r="G53" s="1" t="s">
        <v>236</v>
      </c>
      <c r="H53" s="64">
        <v>11</v>
      </c>
      <c r="I53" s="64">
        <v>0</v>
      </c>
      <c r="J53" s="64">
        <v>11</v>
      </c>
      <c r="K53" s="65">
        <v>361.46</v>
      </c>
    </row>
    <row r="54" spans="1:11" ht="15" customHeight="1">
      <c r="A54" s="1" t="str">
        <f t="shared" si="1"/>
        <v>Petersburg</v>
      </c>
      <c r="B54" s="61">
        <v>100521</v>
      </c>
      <c r="C54" s="62" t="s">
        <v>145</v>
      </c>
      <c r="D54" s="63">
        <v>39714</v>
      </c>
      <c r="E54" s="63">
        <v>40109</v>
      </c>
      <c r="F54" s="1" t="s">
        <v>158</v>
      </c>
      <c r="G54" s="19" t="s">
        <v>159</v>
      </c>
      <c r="H54" s="64">
        <v>39</v>
      </c>
      <c r="I54" s="64">
        <v>39</v>
      </c>
      <c r="J54" s="64">
        <v>0</v>
      </c>
      <c r="K54" s="65">
        <v>0</v>
      </c>
    </row>
    <row r="55" spans="1:11" ht="15" customHeight="1">
      <c r="A55" s="1" t="str">
        <f t="shared" si="1"/>
        <v>Petersburg</v>
      </c>
      <c r="B55" s="61">
        <v>100521</v>
      </c>
      <c r="C55" s="62" t="s">
        <v>97</v>
      </c>
      <c r="D55" s="63">
        <v>39066</v>
      </c>
      <c r="E55" s="63">
        <v>41121</v>
      </c>
      <c r="F55" s="1" t="s">
        <v>165</v>
      </c>
      <c r="G55" s="1" t="s">
        <v>67</v>
      </c>
      <c r="H55" s="64">
        <v>429</v>
      </c>
      <c r="I55" s="64">
        <v>429</v>
      </c>
      <c r="J55" s="64">
        <v>0</v>
      </c>
      <c r="K55" s="65">
        <v>0</v>
      </c>
    </row>
    <row r="56" spans="1:11" ht="15" customHeight="1">
      <c r="A56" s="1" t="str">
        <f t="shared" si="1"/>
        <v>Petersburg</v>
      </c>
      <c r="B56" s="61">
        <v>100521</v>
      </c>
      <c r="C56" s="62" t="s">
        <v>216</v>
      </c>
      <c r="D56" s="63">
        <v>40316</v>
      </c>
      <c r="E56" s="63">
        <v>40847</v>
      </c>
      <c r="F56" s="1" t="s">
        <v>165</v>
      </c>
      <c r="G56" s="1" t="s">
        <v>214</v>
      </c>
      <c r="H56" s="64">
        <v>313.19</v>
      </c>
      <c r="I56" s="64">
        <v>228</v>
      </c>
      <c r="J56" s="64">
        <v>85.19</v>
      </c>
      <c r="K56" s="65">
        <v>507.54</v>
      </c>
    </row>
    <row r="57" spans="1:11" ht="15" customHeight="1">
      <c r="A57" s="1" t="str">
        <f t="shared" si="1"/>
        <v>Wrangell</v>
      </c>
      <c r="B57" s="61">
        <v>100522</v>
      </c>
      <c r="C57" s="62" t="s">
        <v>166</v>
      </c>
      <c r="D57" s="63">
        <v>39833</v>
      </c>
      <c r="E57" s="63">
        <v>40482</v>
      </c>
      <c r="F57" s="1" t="s">
        <v>165</v>
      </c>
      <c r="G57" s="1" t="s">
        <v>167</v>
      </c>
      <c r="H57" s="64">
        <v>667.85</v>
      </c>
      <c r="I57" s="64">
        <v>667.85</v>
      </c>
      <c r="J57" s="64">
        <v>0</v>
      </c>
      <c r="K57" s="65">
        <v>0</v>
      </c>
    </row>
    <row r="58" spans="1:11" ht="15" customHeight="1">
      <c r="A58" s="1" t="str">
        <f t="shared" si="1"/>
        <v>Wrangell</v>
      </c>
      <c r="B58" s="61">
        <v>100522</v>
      </c>
      <c r="C58" s="62" t="s">
        <v>98</v>
      </c>
      <c r="D58" s="63">
        <v>38475</v>
      </c>
      <c r="E58" s="63">
        <v>40482</v>
      </c>
      <c r="F58" s="1" t="s">
        <v>165</v>
      </c>
      <c r="G58" s="1" t="s">
        <v>23</v>
      </c>
      <c r="H58" s="64">
        <v>4431.7299999999996</v>
      </c>
      <c r="I58" s="64">
        <v>3742.19</v>
      </c>
      <c r="J58" s="64">
        <v>689.54</v>
      </c>
      <c r="K58" s="65">
        <v>6476.73</v>
      </c>
    </row>
    <row r="59" spans="1:11" ht="15" customHeight="1">
      <c r="A59" s="1" t="str">
        <f t="shared" si="1"/>
        <v>Petersburg</v>
      </c>
      <c r="B59" s="61">
        <v>100521</v>
      </c>
      <c r="C59" s="62" t="s">
        <v>230</v>
      </c>
      <c r="D59" s="63">
        <v>40346</v>
      </c>
      <c r="E59" s="63">
        <v>41213</v>
      </c>
      <c r="F59" s="1" t="s">
        <v>165</v>
      </c>
      <c r="G59" s="43" t="s">
        <v>225</v>
      </c>
      <c r="H59" s="64">
        <v>203</v>
      </c>
      <c r="I59" s="64">
        <v>150</v>
      </c>
      <c r="J59" s="64">
        <v>53</v>
      </c>
      <c r="K59" s="65">
        <v>173.1</v>
      </c>
    </row>
    <row r="60" spans="1:11" ht="15" customHeight="1">
      <c r="A60" s="1" t="str">
        <f t="shared" si="1"/>
        <v>Yakutat</v>
      </c>
      <c r="B60" s="61">
        <v>100535</v>
      </c>
      <c r="C60" s="62" t="s">
        <v>171</v>
      </c>
      <c r="D60" s="63">
        <v>39973</v>
      </c>
      <c r="E60" s="63">
        <v>40847</v>
      </c>
      <c r="F60" s="10" t="s">
        <v>172</v>
      </c>
      <c r="G60" s="10" t="s">
        <v>173</v>
      </c>
      <c r="H60" s="64">
        <v>79.2</v>
      </c>
      <c r="I60" s="64">
        <v>0</v>
      </c>
      <c r="J60" s="64">
        <v>79.2</v>
      </c>
      <c r="K60" s="65">
        <v>816.98</v>
      </c>
    </row>
    <row r="61" spans="1:11" ht="15" customHeight="1">
      <c r="A61" s="1" t="str">
        <f t="shared" si="1"/>
        <v>Ketchikan</v>
      </c>
      <c r="B61" s="61">
        <v>100552</v>
      </c>
      <c r="C61" s="62" t="s">
        <v>118</v>
      </c>
      <c r="D61" s="63">
        <v>38762</v>
      </c>
      <c r="E61" s="63">
        <v>41943</v>
      </c>
      <c r="F61" s="1" t="s">
        <v>5</v>
      </c>
      <c r="G61" s="1" t="s">
        <v>41</v>
      </c>
      <c r="H61" s="64">
        <v>15744.66</v>
      </c>
      <c r="I61" s="64">
        <v>12292.56</v>
      </c>
      <c r="J61" s="64">
        <v>3452.1</v>
      </c>
      <c r="K61" s="65">
        <v>29497.47</v>
      </c>
    </row>
    <row r="62" spans="1:11" ht="15" customHeight="1">
      <c r="A62" s="1" t="str">
        <f t="shared" ref="A62:A92" si="2">LOOKUP(B62,$B$111:$B$123,$C$111:$C$123)</f>
        <v>Ketchikan</v>
      </c>
      <c r="B62" s="61">
        <v>100552</v>
      </c>
      <c r="C62" s="62" t="s">
        <v>116</v>
      </c>
      <c r="D62" s="63">
        <v>38272</v>
      </c>
      <c r="E62" s="63">
        <v>40847</v>
      </c>
      <c r="F62" s="1" t="s">
        <v>5</v>
      </c>
      <c r="G62" s="1" t="s">
        <v>11</v>
      </c>
      <c r="H62" s="64">
        <v>14967</v>
      </c>
      <c r="I62" s="64">
        <v>14377.64</v>
      </c>
      <c r="J62" s="64">
        <v>589.36</v>
      </c>
      <c r="K62" s="65">
        <v>3243.36</v>
      </c>
    </row>
    <row r="63" spans="1:11" ht="15" customHeight="1">
      <c r="A63" s="1" t="str">
        <f t="shared" si="2"/>
        <v>Ketchikan</v>
      </c>
      <c r="B63" s="61">
        <v>100552</v>
      </c>
      <c r="C63" s="62" t="s">
        <v>182</v>
      </c>
      <c r="D63" s="63">
        <v>39917</v>
      </c>
      <c r="E63" s="63">
        <v>41578</v>
      </c>
      <c r="F63" s="1" t="s">
        <v>5</v>
      </c>
      <c r="G63" s="1" t="s">
        <v>177</v>
      </c>
      <c r="H63" s="64">
        <v>4360</v>
      </c>
      <c r="I63" s="64">
        <v>0</v>
      </c>
      <c r="J63" s="64">
        <v>4360</v>
      </c>
      <c r="K63" s="65">
        <v>141559.69</v>
      </c>
    </row>
    <row r="64" spans="1:11" ht="15" customHeight="1">
      <c r="A64" s="1" t="str">
        <f t="shared" si="2"/>
        <v>Ketchikan</v>
      </c>
      <c r="B64" s="61">
        <v>100552</v>
      </c>
      <c r="C64" s="62" t="s">
        <v>117</v>
      </c>
      <c r="D64" s="63">
        <v>38673</v>
      </c>
      <c r="E64" s="63">
        <v>41943</v>
      </c>
      <c r="F64" s="1" t="s">
        <v>5</v>
      </c>
      <c r="G64" s="1" t="s">
        <v>37</v>
      </c>
      <c r="H64" s="64">
        <v>16494.560000000001</v>
      </c>
      <c r="I64" s="64">
        <v>1473.32</v>
      </c>
      <c r="J64" s="64">
        <v>15021.24</v>
      </c>
      <c r="K64" s="65">
        <v>164828.82</v>
      </c>
    </row>
    <row r="65" spans="1:11" ht="15" customHeight="1">
      <c r="A65" s="1" t="str">
        <f t="shared" si="2"/>
        <v>Thorne Bay</v>
      </c>
      <c r="B65" s="61">
        <v>100554</v>
      </c>
      <c r="C65" s="62" t="s">
        <v>131</v>
      </c>
      <c r="D65" s="63">
        <v>39406</v>
      </c>
      <c r="E65" s="63">
        <v>41425</v>
      </c>
      <c r="F65" s="1" t="s">
        <v>2</v>
      </c>
      <c r="G65" s="1" t="s">
        <v>88</v>
      </c>
      <c r="H65" s="64">
        <v>140</v>
      </c>
      <c r="I65" s="64">
        <v>0</v>
      </c>
      <c r="J65" s="64">
        <v>140</v>
      </c>
      <c r="K65" s="65">
        <v>5802.37</v>
      </c>
    </row>
    <row r="66" spans="1:11" ht="15" customHeight="1">
      <c r="A66" s="1" t="str">
        <f t="shared" si="2"/>
        <v>Thorne Bay</v>
      </c>
      <c r="B66" s="61">
        <v>100554</v>
      </c>
      <c r="C66" s="62" t="s">
        <v>123</v>
      </c>
      <c r="D66" s="63">
        <v>38860</v>
      </c>
      <c r="E66" s="63">
        <v>40847</v>
      </c>
      <c r="F66" s="1" t="s">
        <v>42</v>
      </c>
      <c r="G66" s="1" t="s">
        <v>44</v>
      </c>
      <c r="H66" s="64">
        <v>1147.58</v>
      </c>
      <c r="I66" s="64">
        <v>984.2</v>
      </c>
      <c r="J66" s="64">
        <v>163.38</v>
      </c>
      <c r="K66" s="65">
        <v>852.87</v>
      </c>
    </row>
    <row r="67" spans="1:11" ht="15" customHeight="1">
      <c r="A67" s="1" t="str">
        <f t="shared" si="2"/>
        <v>Thorne Bay</v>
      </c>
      <c r="B67" s="61">
        <v>100554</v>
      </c>
      <c r="C67" s="62" t="s">
        <v>149</v>
      </c>
      <c r="D67" s="63">
        <v>39665</v>
      </c>
      <c r="E67" s="63">
        <v>40847</v>
      </c>
      <c r="F67" s="10" t="s">
        <v>143</v>
      </c>
      <c r="G67" s="10" t="s">
        <v>141</v>
      </c>
      <c r="H67" s="64">
        <v>244</v>
      </c>
      <c r="I67" s="64">
        <v>0</v>
      </c>
      <c r="J67" s="64">
        <v>244</v>
      </c>
      <c r="K67" s="65">
        <v>2080</v>
      </c>
    </row>
    <row r="68" spans="1:11" ht="15" customHeight="1">
      <c r="A68" s="1" t="str">
        <f t="shared" si="2"/>
        <v>Thorne Bay</v>
      </c>
      <c r="B68" s="61">
        <v>100554</v>
      </c>
      <c r="C68" s="62" t="s">
        <v>150</v>
      </c>
      <c r="D68" s="63">
        <v>39665</v>
      </c>
      <c r="E68" s="63">
        <v>40847</v>
      </c>
      <c r="F68" s="10" t="s">
        <v>143</v>
      </c>
      <c r="G68" s="10" t="s">
        <v>142</v>
      </c>
      <c r="H68" s="64">
        <v>249</v>
      </c>
      <c r="I68" s="64">
        <v>0</v>
      </c>
      <c r="J68" s="64">
        <v>249</v>
      </c>
      <c r="K68" s="65">
        <v>2730</v>
      </c>
    </row>
    <row r="69" spans="1:11" ht="15" customHeight="1">
      <c r="A69" s="1" t="str">
        <f t="shared" si="2"/>
        <v>Craig</v>
      </c>
      <c r="B69" s="61">
        <v>100551</v>
      </c>
      <c r="C69" s="62" t="s">
        <v>151</v>
      </c>
      <c r="D69" s="63">
        <v>39713</v>
      </c>
      <c r="E69" s="63">
        <v>40482</v>
      </c>
      <c r="F69" s="1" t="s">
        <v>139</v>
      </c>
      <c r="G69" s="10" t="s">
        <v>140</v>
      </c>
      <c r="H69" s="64">
        <v>1202</v>
      </c>
      <c r="I69" s="64">
        <v>924</v>
      </c>
      <c r="J69" s="64">
        <v>278</v>
      </c>
      <c r="K69" s="65">
        <v>8618</v>
      </c>
    </row>
    <row r="70" spans="1:11" ht="15" customHeight="1">
      <c r="A70" s="1" t="str">
        <f t="shared" si="2"/>
        <v>Craig</v>
      </c>
      <c r="B70" s="61">
        <v>100551</v>
      </c>
      <c r="C70" s="62" t="s">
        <v>152</v>
      </c>
      <c r="D70" s="63">
        <v>39679</v>
      </c>
      <c r="E70" s="63">
        <v>40847</v>
      </c>
      <c r="F70" s="1" t="s">
        <v>139</v>
      </c>
      <c r="G70" s="10" t="s">
        <v>144</v>
      </c>
      <c r="H70" s="64">
        <v>153.22999999999999</v>
      </c>
      <c r="I70" s="64">
        <v>153.22999999999999</v>
      </c>
      <c r="J70" s="64">
        <v>0</v>
      </c>
      <c r="K70" s="65">
        <v>0</v>
      </c>
    </row>
    <row r="71" spans="1:11" ht="15" customHeight="1">
      <c r="A71" s="1" t="str">
        <f t="shared" si="2"/>
        <v>Thorne Bay</v>
      </c>
      <c r="B71" s="61">
        <v>100554</v>
      </c>
      <c r="C71" s="62" t="s">
        <v>259</v>
      </c>
      <c r="D71" s="63">
        <v>40414</v>
      </c>
      <c r="E71" s="63">
        <v>41578</v>
      </c>
      <c r="F71" s="36" t="s">
        <v>209</v>
      </c>
      <c r="G71" s="36" t="s">
        <v>255</v>
      </c>
      <c r="H71" s="64">
        <v>218</v>
      </c>
      <c r="I71" s="64">
        <v>0</v>
      </c>
      <c r="J71" s="64">
        <v>218</v>
      </c>
      <c r="K71" s="65">
        <v>8819.7900000000009</v>
      </c>
    </row>
    <row r="72" spans="1:11" ht="15" customHeight="1">
      <c r="A72" s="1" t="str">
        <f t="shared" si="2"/>
        <v>Craig</v>
      </c>
      <c r="B72" s="61">
        <v>100551</v>
      </c>
      <c r="C72" s="62" t="s">
        <v>212</v>
      </c>
      <c r="D72" s="63">
        <v>40246</v>
      </c>
      <c r="E72" s="63">
        <v>41213</v>
      </c>
      <c r="F72" s="36" t="s">
        <v>209</v>
      </c>
      <c r="G72" s="36" t="s">
        <v>210</v>
      </c>
      <c r="H72" s="64">
        <v>256</v>
      </c>
      <c r="I72" s="64">
        <v>0</v>
      </c>
      <c r="J72" s="64">
        <v>256</v>
      </c>
      <c r="K72" s="65">
        <v>23320.14</v>
      </c>
    </row>
    <row r="73" spans="1:11" ht="15" customHeight="1">
      <c r="A73" s="1" t="str">
        <f t="shared" si="2"/>
        <v>Hoonah</v>
      </c>
      <c r="B73" s="61">
        <v>100532</v>
      </c>
      <c r="C73" s="62" t="s">
        <v>104</v>
      </c>
      <c r="D73" s="63">
        <v>38589</v>
      </c>
      <c r="E73" s="63">
        <v>40482</v>
      </c>
      <c r="F73" s="1" t="s">
        <v>33</v>
      </c>
      <c r="G73" s="1" t="s">
        <v>34</v>
      </c>
      <c r="H73" s="64">
        <v>159.88999999999999</v>
      </c>
      <c r="I73" s="64">
        <v>0</v>
      </c>
      <c r="J73" s="64">
        <v>159.88999999999999</v>
      </c>
      <c r="K73" s="65">
        <v>2825.71</v>
      </c>
    </row>
    <row r="74" spans="1:11" ht="15" customHeight="1">
      <c r="A74" s="1" t="str">
        <f t="shared" si="2"/>
        <v>Sitka</v>
      </c>
      <c r="B74" s="61">
        <v>100531</v>
      </c>
      <c r="C74" s="62" t="s">
        <v>188</v>
      </c>
      <c r="D74" s="63">
        <v>40080</v>
      </c>
      <c r="E74" s="63">
        <v>40452</v>
      </c>
      <c r="F74" s="30" t="s">
        <v>185</v>
      </c>
      <c r="G74" s="30" t="s">
        <v>186</v>
      </c>
      <c r="H74" s="64">
        <v>131</v>
      </c>
      <c r="I74" s="64">
        <v>6.5</v>
      </c>
      <c r="J74" s="64">
        <v>124.5</v>
      </c>
      <c r="K74" s="65">
        <v>1618.5</v>
      </c>
    </row>
    <row r="75" spans="1:11" ht="15" customHeight="1">
      <c r="A75" s="1" t="str">
        <f t="shared" si="2"/>
        <v>Thorne Bay</v>
      </c>
      <c r="B75" s="61">
        <v>100554</v>
      </c>
      <c r="C75" s="62" t="s">
        <v>193</v>
      </c>
      <c r="D75" s="63">
        <v>40162</v>
      </c>
      <c r="E75" s="63">
        <v>41943</v>
      </c>
      <c r="F75" s="1" t="s">
        <v>31</v>
      </c>
      <c r="G75" s="1" t="s">
        <v>192</v>
      </c>
      <c r="H75" s="64">
        <v>23853</v>
      </c>
      <c r="I75" s="64">
        <v>17413.55</v>
      </c>
      <c r="J75" s="64">
        <v>6439.45</v>
      </c>
      <c r="K75" s="65">
        <v>628709.96</v>
      </c>
    </row>
    <row r="76" spans="1:11" ht="15" customHeight="1">
      <c r="A76" s="1" t="str">
        <f t="shared" si="2"/>
        <v>Petersburg</v>
      </c>
      <c r="B76" s="61">
        <v>100521</v>
      </c>
      <c r="C76" s="62" t="s">
        <v>95</v>
      </c>
      <c r="D76" s="63">
        <v>38188</v>
      </c>
      <c r="E76" s="63">
        <v>41213</v>
      </c>
      <c r="F76" s="1" t="s">
        <v>31</v>
      </c>
      <c r="G76" s="1" t="s">
        <v>9</v>
      </c>
      <c r="H76" s="64">
        <v>12228.6</v>
      </c>
      <c r="I76" s="64">
        <v>10591.37</v>
      </c>
      <c r="J76" s="64">
        <v>1637.23</v>
      </c>
      <c r="K76" s="65">
        <v>11738.34</v>
      </c>
    </row>
    <row r="77" spans="1:11" ht="15" customHeight="1">
      <c r="A77" s="1" t="str">
        <f t="shared" si="2"/>
        <v>Petersburg</v>
      </c>
      <c r="B77" s="61">
        <v>100521</v>
      </c>
      <c r="C77" s="62" t="s">
        <v>96</v>
      </c>
      <c r="D77" s="63">
        <v>38664</v>
      </c>
      <c r="E77" s="63">
        <v>41578</v>
      </c>
      <c r="F77" s="1" t="s">
        <v>31</v>
      </c>
      <c r="G77" s="1" t="s">
        <v>38</v>
      </c>
      <c r="H77" s="64">
        <v>23265.38</v>
      </c>
      <c r="I77" s="64">
        <v>17215.46</v>
      </c>
      <c r="J77" s="64">
        <v>6049.92</v>
      </c>
      <c r="K77" s="65">
        <v>70664.740000000005</v>
      </c>
    </row>
    <row r="78" spans="1:11" ht="15" customHeight="1">
      <c r="A78" s="1" t="str">
        <f t="shared" si="2"/>
        <v>Craig</v>
      </c>
      <c r="B78" s="61">
        <v>100551</v>
      </c>
      <c r="C78" s="62" t="s">
        <v>114</v>
      </c>
      <c r="D78" s="63">
        <v>39336</v>
      </c>
      <c r="E78" s="63">
        <v>41213</v>
      </c>
      <c r="F78" s="1" t="s">
        <v>31</v>
      </c>
      <c r="G78" s="1" t="s">
        <v>82</v>
      </c>
      <c r="H78" s="64">
        <v>14256.33</v>
      </c>
      <c r="I78" s="64">
        <v>14256.33</v>
      </c>
      <c r="J78" s="64">
        <v>0</v>
      </c>
      <c r="K78" s="65">
        <v>0</v>
      </c>
    </row>
    <row r="79" spans="1:11" ht="15" customHeight="1">
      <c r="A79" s="1" t="str">
        <f t="shared" si="2"/>
        <v>Thorne Bay</v>
      </c>
      <c r="B79" s="61">
        <v>100554</v>
      </c>
      <c r="C79" s="62" t="s">
        <v>260</v>
      </c>
      <c r="D79" s="63">
        <v>40448</v>
      </c>
      <c r="E79" s="63">
        <v>42308</v>
      </c>
      <c r="F79" s="1" t="s">
        <v>31</v>
      </c>
      <c r="G79" s="1" t="s">
        <v>256</v>
      </c>
      <c r="H79" s="64">
        <v>18839</v>
      </c>
      <c r="I79" s="64">
        <v>0</v>
      </c>
      <c r="J79" s="64">
        <v>18839</v>
      </c>
      <c r="K79" s="65">
        <v>1303713.74</v>
      </c>
    </row>
    <row r="80" spans="1:11" ht="15" customHeight="1">
      <c r="A80" s="1" t="str">
        <f t="shared" si="2"/>
        <v>Thorne Bay</v>
      </c>
      <c r="B80" s="61">
        <v>100554</v>
      </c>
      <c r="C80" s="62" t="s">
        <v>119</v>
      </c>
      <c r="D80" s="63">
        <v>37559</v>
      </c>
      <c r="E80" s="63">
        <v>40847</v>
      </c>
      <c r="F80" s="1" t="s">
        <v>31</v>
      </c>
      <c r="G80" s="1" t="s">
        <v>3</v>
      </c>
      <c r="H80" s="64">
        <v>11016.01</v>
      </c>
      <c r="I80" s="64">
        <v>7528.77</v>
      </c>
      <c r="J80" s="64">
        <v>3487.24</v>
      </c>
      <c r="K80" s="65">
        <v>195774.71</v>
      </c>
    </row>
    <row r="81" spans="1:11" ht="15" customHeight="1">
      <c r="A81" s="1" t="str">
        <f t="shared" si="2"/>
        <v>Juneau</v>
      </c>
      <c r="B81" s="61">
        <v>100533</v>
      </c>
      <c r="C81" s="62" t="s">
        <v>111</v>
      </c>
      <c r="D81" s="63">
        <v>39287</v>
      </c>
      <c r="E81" s="63">
        <v>41578</v>
      </c>
      <c r="F81" s="7" t="s">
        <v>83</v>
      </c>
      <c r="G81" s="7" t="s">
        <v>84</v>
      </c>
      <c r="H81" s="64">
        <v>90</v>
      </c>
      <c r="I81" s="64">
        <v>16</v>
      </c>
      <c r="J81" s="64">
        <v>74</v>
      </c>
      <c r="K81" s="65">
        <v>629.5</v>
      </c>
    </row>
    <row r="82" spans="1:11" s="7" customFormat="1" ht="15.75" customHeight="1">
      <c r="A82" s="1" t="str">
        <f t="shared" si="2"/>
        <v>Thorne Bay</v>
      </c>
      <c r="B82" s="61">
        <v>100554</v>
      </c>
      <c r="C82" s="62" t="s">
        <v>183</v>
      </c>
      <c r="D82" s="63">
        <v>40022</v>
      </c>
      <c r="E82" s="63">
        <v>40415</v>
      </c>
      <c r="F82" s="1" t="s">
        <v>51</v>
      </c>
      <c r="G82" s="1" t="s">
        <v>178</v>
      </c>
      <c r="H82" s="64">
        <v>6</v>
      </c>
      <c r="I82" s="64">
        <v>6</v>
      </c>
      <c r="J82" s="64">
        <v>0</v>
      </c>
      <c r="K82" s="65">
        <v>0</v>
      </c>
    </row>
    <row r="83" spans="1:11" s="7" customFormat="1" ht="15.75" customHeight="1">
      <c r="A83" s="1" t="str">
        <f t="shared" si="2"/>
        <v>Thorne Bay</v>
      </c>
      <c r="B83" s="61">
        <v>100554</v>
      </c>
      <c r="C83" s="62" t="s">
        <v>241</v>
      </c>
      <c r="D83" s="63">
        <v>40358</v>
      </c>
      <c r="E83" s="63">
        <v>40744</v>
      </c>
      <c r="F83" s="1" t="s">
        <v>51</v>
      </c>
      <c r="G83" s="1" t="s">
        <v>237</v>
      </c>
      <c r="H83" s="64">
        <v>10</v>
      </c>
      <c r="I83" s="64">
        <v>0</v>
      </c>
      <c r="J83" s="64">
        <v>10</v>
      </c>
      <c r="K83" s="65">
        <v>350</v>
      </c>
    </row>
    <row r="84" spans="1:11" s="7" customFormat="1" ht="15.75" customHeight="1">
      <c r="A84" s="1" t="str">
        <f t="shared" si="2"/>
        <v>Craig</v>
      </c>
      <c r="B84" s="61">
        <v>100551</v>
      </c>
      <c r="C84" s="62" t="s">
        <v>251</v>
      </c>
      <c r="D84" s="63">
        <v>40393</v>
      </c>
      <c r="E84" s="63">
        <v>40785</v>
      </c>
      <c r="F84" s="1" t="s">
        <v>51</v>
      </c>
      <c r="G84" s="1" t="s">
        <v>246</v>
      </c>
      <c r="H84" s="64">
        <v>8</v>
      </c>
      <c r="I84" s="64">
        <v>0</v>
      </c>
      <c r="J84" s="64">
        <v>8</v>
      </c>
      <c r="K84" s="65">
        <v>300.95999999999998</v>
      </c>
    </row>
    <row r="85" spans="1:11" s="7" customFormat="1" ht="15.75" customHeight="1">
      <c r="A85" s="1" t="str">
        <f t="shared" si="2"/>
        <v>Petersburg</v>
      </c>
      <c r="B85" s="61">
        <v>100521</v>
      </c>
      <c r="C85" s="62" t="s">
        <v>231</v>
      </c>
      <c r="D85" s="63">
        <v>40330</v>
      </c>
      <c r="E85" s="63">
        <v>41213</v>
      </c>
      <c r="F85" s="43" t="s">
        <v>232</v>
      </c>
      <c r="G85" s="43" t="s">
        <v>233</v>
      </c>
      <c r="H85" s="64">
        <v>48</v>
      </c>
      <c r="I85" s="64">
        <v>0</v>
      </c>
      <c r="J85" s="64">
        <v>48</v>
      </c>
      <c r="K85" s="65">
        <v>227.12</v>
      </c>
    </row>
    <row r="86" spans="1:11" ht="15" customHeight="1">
      <c r="A86" s="1" t="str">
        <f t="shared" si="2"/>
        <v>Thorne Bay</v>
      </c>
      <c r="B86" s="61">
        <v>100554</v>
      </c>
      <c r="C86" s="62" t="s">
        <v>125</v>
      </c>
      <c r="D86" s="63">
        <v>38958</v>
      </c>
      <c r="E86" s="63">
        <v>41121</v>
      </c>
      <c r="F86" s="1" t="s">
        <v>32</v>
      </c>
      <c r="G86" s="19" t="s">
        <v>61</v>
      </c>
      <c r="H86" s="64">
        <v>242</v>
      </c>
      <c r="I86" s="64">
        <v>0</v>
      </c>
      <c r="J86" s="64">
        <v>242</v>
      </c>
      <c r="K86" s="65">
        <v>5673.6</v>
      </c>
    </row>
    <row r="87" spans="1:11" ht="15" customHeight="1">
      <c r="A87" s="1" t="str">
        <f t="shared" si="2"/>
        <v>Thorne Bay</v>
      </c>
      <c r="B87" s="61">
        <v>100554</v>
      </c>
      <c r="C87" s="62" t="s">
        <v>122</v>
      </c>
      <c r="D87" s="63">
        <v>38699</v>
      </c>
      <c r="E87" s="63">
        <v>40847</v>
      </c>
      <c r="F87" s="1" t="s">
        <v>32</v>
      </c>
      <c r="G87" s="1" t="s">
        <v>40</v>
      </c>
      <c r="H87" s="64">
        <v>38.79</v>
      </c>
      <c r="I87" s="64">
        <v>13.62</v>
      </c>
      <c r="J87" s="64">
        <v>25.17</v>
      </c>
      <c r="K87" s="65">
        <v>581.9</v>
      </c>
    </row>
    <row r="88" spans="1:11" ht="15" customHeight="1">
      <c r="A88" s="1" t="str">
        <f t="shared" si="2"/>
        <v>Thorne Bay</v>
      </c>
      <c r="B88" s="61">
        <v>100554</v>
      </c>
      <c r="C88" s="62" t="s">
        <v>121</v>
      </c>
      <c r="D88" s="63">
        <v>38643</v>
      </c>
      <c r="E88" s="63">
        <v>41213</v>
      </c>
      <c r="F88" s="1" t="s">
        <v>32</v>
      </c>
      <c r="G88" s="1" t="s">
        <v>35</v>
      </c>
      <c r="H88" s="64">
        <v>152.88999999999999</v>
      </c>
      <c r="I88" s="64">
        <v>70.260000000000005</v>
      </c>
      <c r="J88" s="64">
        <v>82.63</v>
      </c>
      <c r="K88" s="65">
        <v>4227.92</v>
      </c>
    </row>
    <row r="89" spans="1:11" ht="15" customHeight="1">
      <c r="A89" s="1" t="str">
        <f t="shared" si="2"/>
        <v>Thorne Bay</v>
      </c>
      <c r="B89" s="61">
        <v>100554</v>
      </c>
      <c r="C89" s="62" t="s">
        <v>126</v>
      </c>
      <c r="D89" s="63">
        <v>38958</v>
      </c>
      <c r="E89" s="63">
        <v>40755</v>
      </c>
      <c r="F89" s="1" t="s">
        <v>32</v>
      </c>
      <c r="G89" s="19" t="s">
        <v>62</v>
      </c>
      <c r="H89" s="64">
        <v>217</v>
      </c>
      <c r="I89" s="64">
        <v>15</v>
      </c>
      <c r="J89" s="64">
        <v>202</v>
      </c>
      <c r="K89" s="65">
        <v>8916.98</v>
      </c>
    </row>
    <row r="90" spans="1:11" ht="15" customHeight="1">
      <c r="A90" s="1" t="str">
        <f t="shared" si="2"/>
        <v>Thorne Bay</v>
      </c>
      <c r="B90" s="61">
        <v>100554</v>
      </c>
      <c r="C90" s="62" t="s">
        <v>133</v>
      </c>
      <c r="D90" s="63">
        <v>39416</v>
      </c>
      <c r="E90" s="63">
        <v>40482</v>
      </c>
      <c r="F90" s="1" t="s">
        <v>32</v>
      </c>
      <c r="G90" s="19" t="s">
        <v>89</v>
      </c>
      <c r="H90" s="64">
        <v>612</v>
      </c>
      <c r="I90" s="64">
        <v>44</v>
      </c>
      <c r="J90" s="64">
        <v>568</v>
      </c>
      <c r="K90" s="65">
        <v>43504.160000000003</v>
      </c>
    </row>
    <row r="91" spans="1:11" s="10" customFormat="1">
      <c r="A91" s="1" t="str">
        <f t="shared" si="2"/>
        <v>Wrangell</v>
      </c>
      <c r="B91" s="33">
        <v>100522</v>
      </c>
      <c r="C91" s="34" t="s">
        <v>252</v>
      </c>
      <c r="D91" s="32"/>
      <c r="E91" s="31">
        <v>40495</v>
      </c>
      <c r="F91" s="10" t="s">
        <v>153</v>
      </c>
      <c r="G91" s="10" t="s">
        <v>29</v>
      </c>
      <c r="H91" s="45">
        <v>12.55</v>
      </c>
      <c r="I91" s="45">
        <v>0</v>
      </c>
      <c r="J91" s="45">
        <v>12.55</v>
      </c>
      <c r="K91" s="46">
        <v>128</v>
      </c>
    </row>
    <row r="92" spans="1:11" s="10" customFormat="1">
      <c r="A92" s="1" t="str">
        <f t="shared" si="2"/>
        <v>Craig</v>
      </c>
      <c r="B92" s="33">
        <v>100551</v>
      </c>
      <c r="C92" s="34" t="s">
        <v>194</v>
      </c>
      <c r="D92" s="32"/>
      <c r="E92" s="31">
        <v>40543</v>
      </c>
      <c r="F92" s="10" t="s">
        <v>153</v>
      </c>
      <c r="G92" s="10" t="s">
        <v>29</v>
      </c>
      <c r="H92" s="45">
        <v>4</v>
      </c>
      <c r="I92" s="45">
        <v>0</v>
      </c>
      <c r="J92" s="45">
        <v>4</v>
      </c>
      <c r="K92" s="46">
        <v>40</v>
      </c>
    </row>
    <row r="93" spans="1:11" s="19" customFormat="1" ht="15" customHeight="1">
      <c r="A93" s="1"/>
      <c r="B93" s="13"/>
      <c r="C93" s="13"/>
      <c r="D93" s="13"/>
      <c r="E93" s="20"/>
      <c r="H93" s="47"/>
      <c r="I93" s="47"/>
      <c r="J93" s="47"/>
      <c r="K93" s="48"/>
    </row>
    <row r="94" spans="1:11" ht="15" customHeight="1" thickBot="1">
      <c r="A94" s="69" t="s">
        <v>91</v>
      </c>
      <c r="B94" s="70"/>
      <c r="C94" s="70"/>
      <c r="D94" s="70"/>
      <c r="E94" s="70"/>
      <c r="F94" s="70"/>
      <c r="G94" s="11">
        <f>COUNTIF($J$3:$J$92,"&gt;0")</f>
        <v>79</v>
      </c>
      <c r="H94" s="49">
        <f>SUM(H3:H92)</f>
        <v>210521.23</v>
      </c>
      <c r="I94" s="49">
        <f>SUM(I3:I92)</f>
        <v>112124.31999999999</v>
      </c>
      <c r="J94" s="49">
        <f>SUM(J3:J92)</f>
        <v>98396.91</v>
      </c>
      <c r="K94" s="50">
        <f>SUM(K3:K92)</f>
        <v>3397023.7500000005</v>
      </c>
    </row>
    <row r="95" spans="1:11" ht="15" customHeight="1" thickTop="1">
      <c r="A95" s="18"/>
      <c r="B95" s="17"/>
      <c r="C95" s="17"/>
      <c r="D95" s="17"/>
      <c r="E95" s="17"/>
      <c r="F95" s="17"/>
      <c r="G95" s="11"/>
      <c r="K95" s="51"/>
    </row>
    <row r="96" spans="1:11" ht="30" customHeight="1">
      <c r="A96" s="22" t="s">
        <v>70</v>
      </c>
      <c r="B96" s="23" t="s">
        <v>58</v>
      </c>
      <c r="C96" s="23" t="s">
        <v>49</v>
      </c>
      <c r="D96" s="24" t="s">
        <v>1</v>
      </c>
      <c r="E96" s="24" t="s">
        <v>22</v>
      </c>
      <c r="F96" s="25" t="s">
        <v>71</v>
      </c>
      <c r="G96" s="26" t="s">
        <v>69</v>
      </c>
      <c r="H96" s="44" t="s">
        <v>48</v>
      </c>
      <c r="I96" s="44" t="s">
        <v>47</v>
      </c>
      <c r="J96" s="44" t="s">
        <v>53</v>
      </c>
      <c r="K96" s="44" t="s">
        <v>73</v>
      </c>
    </row>
    <row r="97" spans="1:11" s="4" customFormat="1" ht="30" customHeight="1">
      <c r="A97" s="66" t="s">
        <v>0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1:11" ht="15" customHeight="1">
      <c r="A98" s="1" t="str">
        <f t="shared" ref="A98:A103" si="3">LOOKUP(B98,$B$111:$B$123,$C$111:$C$123)</f>
        <v>Seward</v>
      </c>
      <c r="B98" s="38">
        <v>100430</v>
      </c>
      <c r="C98" s="39" t="s">
        <v>189</v>
      </c>
      <c r="D98" s="40">
        <v>40105</v>
      </c>
      <c r="E98" s="40">
        <v>41765</v>
      </c>
      <c r="F98" s="36" t="s">
        <v>190</v>
      </c>
      <c r="G98" s="36" t="s">
        <v>191</v>
      </c>
      <c r="H98" s="52">
        <v>90</v>
      </c>
      <c r="I98" s="52">
        <v>0</v>
      </c>
      <c r="J98" s="52">
        <v>90</v>
      </c>
      <c r="K98" s="53">
        <v>900</v>
      </c>
    </row>
    <row r="99" spans="1:11" ht="15" customHeight="1">
      <c r="A99" s="1" t="str">
        <f t="shared" si="3"/>
        <v>Seward</v>
      </c>
      <c r="B99" s="38">
        <v>100430</v>
      </c>
      <c r="C99" s="39" t="s">
        <v>195</v>
      </c>
      <c r="D99" s="40">
        <v>40249</v>
      </c>
      <c r="E99" s="40">
        <v>40644</v>
      </c>
      <c r="F99" s="36" t="s">
        <v>197</v>
      </c>
      <c r="G99" s="36" t="s">
        <v>198</v>
      </c>
      <c r="H99" s="52">
        <v>22.5</v>
      </c>
      <c r="I99" s="52">
        <v>0</v>
      </c>
      <c r="J99" s="52">
        <v>22.5</v>
      </c>
      <c r="K99" s="53">
        <v>2340</v>
      </c>
    </row>
    <row r="100" spans="1:11" ht="15" customHeight="1">
      <c r="A100" s="1" t="str">
        <f t="shared" si="3"/>
        <v>Seward</v>
      </c>
      <c r="B100" s="38">
        <v>100430</v>
      </c>
      <c r="C100" s="39" t="s">
        <v>196</v>
      </c>
      <c r="D100" s="40">
        <v>40249</v>
      </c>
      <c r="E100" s="40">
        <v>40644</v>
      </c>
      <c r="F100" s="36" t="s">
        <v>197</v>
      </c>
      <c r="G100" s="36" t="s">
        <v>205</v>
      </c>
      <c r="H100" s="52">
        <v>31.5</v>
      </c>
      <c r="I100" s="52">
        <v>0</v>
      </c>
      <c r="J100" s="52">
        <v>31.5</v>
      </c>
      <c r="K100" s="53">
        <v>3276</v>
      </c>
    </row>
    <row r="101" spans="1:11" ht="15" customHeight="1">
      <c r="A101" s="1" t="str">
        <f t="shared" si="3"/>
        <v>Seward</v>
      </c>
      <c r="B101" s="38">
        <v>100430</v>
      </c>
      <c r="C101" s="39" t="s">
        <v>203</v>
      </c>
      <c r="D101" s="40">
        <v>40266</v>
      </c>
      <c r="E101" s="40">
        <v>40661</v>
      </c>
      <c r="F101" s="36" t="s">
        <v>197</v>
      </c>
      <c r="G101" s="36" t="s">
        <v>206</v>
      </c>
      <c r="H101" s="52">
        <v>35.5</v>
      </c>
      <c r="I101" s="52">
        <v>0</v>
      </c>
      <c r="J101" s="52">
        <v>35.5</v>
      </c>
      <c r="K101" s="53">
        <v>4082.5</v>
      </c>
    </row>
    <row r="102" spans="1:11" s="10" customFormat="1">
      <c r="A102" s="1" t="str">
        <f>LOOKUP(B102,$B$111:$B$123,$C$111:$C$123)</f>
        <v>Seward</v>
      </c>
      <c r="B102" s="38">
        <v>100430</v>
      </c>
      <c r="C102" s="39" t="s">
        <v>204</v>
      </c>
      <c r="D102" s="40">
        <v>40266</v>
      </c>
      <c r="E102" s="40">
        <v>40661</v>
      </c>
      <c r="F102" s="36" t="s">
        <v>168</v>
      </c>
      <c r="G102" s="36" t="s">
        <v>220</v>
      </c>
      <c r="H102" s="52">
        <v>46.5</v>
      </c>
      <c r="I102" s="52">
        <v>0</v>
      </c>
      <c r="J102" s="52">
        <v>46.5</v>
      </c>
      <c r="K102" s="53">
        <v>6324</v>
      </c>
    </row>
    <row r="103" spans="1:11" s="10" customFormat="1">
      <c r="A103" s="1" t="str">
        <f t="shared" si="3"/>
        <v>Seward</v>
      </c>
      <c r="B103" s="38">
        <v>100430</v>
      </c>
      <c r="C103" s="39" t="s">
        <v>217</v>
      </c>
      <c r="D103" s="40">
        <v>40319</v>
      </c>
      <c r="E103" s="40">
        <v>40714</v>
      </c>
      <c r="F103" s="36" t="s">
        <v>218</v>
      </c>
      <c r="G103" s="36" t="s">
        <v>219</v>
      </c>
      <c r="H103" s="52">
        <v>51</v>
      </c>
      <c r="I103" s="52">
        <v>0</v>
      </c>
      <c r="J103" s="52">
        <v>51</v>
      </c>
      <c r="K103" s="53">
        <v>8362.98</v>
      </c>
    </row>
    <row r="104" spans="1:11" ht="15" customHeight="1">
      <c r="B104" s="6"/>
      <c r="C104" s="13"/>
      <c r="D104" s="21"/>
      <c r="E104" s="20"/>
      <c r="F104" s="37"/>
      <c r="G104"/>
      <c r="K104" s="51"/>
    </row>
    <row r="105" spans="1:11" ht="15" customHeight="1" thickBot="1">
      <c r="A105" s="69" t="s">
        <v>91</v>
      </c>
      <c r="B105" s="70"/>
      <c r="C105" s="70"/>
      <c r="D105" s="70"/>
      <c r="E105" s="70"/>
      <c r="F105" s="70"/>
      <c r="G105" s="11">
        <f>COUNTIF(J98:J103,"&gt;0")</f>
        <v>6</v>
      </c>
      <c r="H105" s="49">
        <f>SUM(H98:H103)</f>
        <v>277</v>
      </c>
      <c r="I105" s="49">
        <f>SUM(I98:I103)</f>
        <v>0</v>
      </c>
      <c r="J105" s="49">
        <f>SUM(J98:J103)</f>
        <v>277</v>
      </c>
      <c r="K105" s="50">
        <f>SUM(K98:K103)</f>
        <v>25285.48</v>
      </c>
    </row>
    <row r="106" spans="1:11" ht="15" customHeight="1" thickTop="1">
      <c r="B106" s="14"/>
      <c r="C106" s="15"/>
      <c r="D106" s="15"/>
      <c r="E106" s="15"/>
      <c r="F106" s="18"/>
      <c r="G106" s="11"/>
      <c r="K106" s="51"/>
    </row>
    <row r="107" spans="1:11" s="4" customFormat="1" ht="30" customHeight="1">
      <c r="B107" s="17"/>
      <c r="C107" s="17"/>
      <c r="D107" s="17"/>
      <c r="E107" s="17"/>
      <c r="F107" s="73" t="s">
        <v>66</v>
      </c>
      <c r="G107" s="74"/>
      <c r="H107" s="42"/>
      <c r="I107" s="42"/>
      <c r="J107" s="42"/>
      <c r="K107" s="42"/>
    </row>
    <row r="108" spans="1:11" ht="15" customHeight="1" thickBot="1">
      <c r="A108" s="69" t="s">
        <v>91</v>
      </c>
      <c r="B108" s="70"/>
      <c r="C108" s="70"/>
      <c r="D108" s="70"/>
      <c r="E108" s="70"/>
      <c r="F108" s="70"/>
      <c r="G108" s="5">
        <f>G94+G105</f>
        <v>85</v>
      </c>
      <c r="H108" s="49">
        <f>H94+H105</f>
        <v>210798.23</v>
      </c>
      <c r="I108" s="49">
        <f>I94+I105</f>
        <v>112124.31999999999</v>
      </c>
      <c r="J108" s="49">
        <f>J94+J105</f>
        <v>98673.91</v>
      </c>
      <c r="K108" s="50">
        <f>K94+K105</f>
        <v>3422309.2300000004</v>
      </c>
    </row>
    <row r="109" spans="1:11" ht="30" customHeight="1" thickTop="1">
      <c r="A109" s="22"/>
      <c r="B109" s="23"/>
      <c r="C109" s="23"/>
      <c r="D109" s="24"/>
      <c r="E109" s="24"/>
      <c r="F109" s="25"/>
      <c r="G109" s="26" t="s">
        <v>71</v>
      </c>
      <c r="H109" s="44" t="s">
        <v>48</v>
      </c>
      <c r="I109" s="44" t="s">
        <v>47</v>
      </c>
      <c r="J109" s="44" t="s">
        <v>53</v>
      </c>
      <c r="K109" s="44" t="s">
        <v>73</v>
      </c>
    </row>
    <row r="110" spans="1:11" ht="30" customHeight="1">
      <c r="B110" s="71" t="s">
        <v>63</v>
      </c>
      <c r="C110" s="72"/>
      <c r="D110" s="12"/>
      <c r="E110" s="12"/>
      <c r="G110" s="68" t="s">
        <v>52</v>
      </c>
      <c r="H110" s="75"/>
      <c r="I110" s="75"/>
      <c r="J110" s="75"/>
      <c r="K110" s="75"/>
    </row>
    <row r="111" spans="1:11" ht="14.25" customHeight="1">
      <c r="B111" s="5">
        <v>100410</v>
      </c>
      <c r="C111" s="11" t="s">
        <v>54</v>
      </c>
      <c r="G111" s="1"/>
      <c r="H111" s="9"/>
      <c r="I111" s="9"/>
      <c r="J111" s="9"/>
      <c r="K111" s="8"/>
    </row>
    <row r="112" spans="1:11" ht="14.25" customHeight="1">
      <c r="B112" s="5">
        <v>100420</v>
      </c>
      <c r="C112" s="11" t="s">
        <v>55</v>
      </c>
      <c r="G112" s="7" t="s">
        <v>6</v>
      </c>
      <c r="H112" s="9">
        <f t="array" ref="H112">SUMIF($F$3:$F$106,"Alcan Forest Products LLP",$H$3:$H$106)</f>
        <v>23913.91</v>
      </c>
      <c r="I112" s="9">
        <f t="array" ref="I112">SUMIF($F$3:$F$106,"Alcan Forest Products LLP",$I$3:$I$106)</f>
        <v>7277.96</v>
      </c>
      <c r="J112" s="9">
        <f t="array" ref="J112">SUMIF($F$3:$F$106,"Alcan Forest Products LLP",$J$3:$J$106)</f>
        <v>16635.95</v>
      </c>
      <c r="K112" s="8">
        <f t="array" ref="K112">SUMIF($F$3:$F$106,"Alcan Forest Products LLP",$K$3:$K$106)</f>
        <v>205418.5</v>
      </c>
    </row>
    <row r="113" spans="2:11" ht="14.25" customHeight="1">
      <c r="B113" s="5">
        <v>100430</v>
      </c>
      <c r="C113" s="11" t="s">
        <v>21</v>
      </c>
      <c r="G113" s="7" t="s">
        <v>85</v>
      </c>
      <c r="H113" s="9">
        <f t="array" ref="H113">SUMIF($F$3:$F$106,"Brent Cole",$H$3:$H$106)</f>
        <v>100.31</v>
      </c>
      <c r="I113" s="9">
        <f t="array" ref="I113">SUMIF($F$3:$F$106,"Brent Cole",$I$3:$I$106)</f>
        <v>69.31</v>
      </c>
      <c r="J113" s="9">
        <f t="array" ref="J113">SUMIF($F$3:$F$106,"Brent Cole",$J$3:$J$106)</f>
        <v>31</v>
      </c>
      <c r="K113" s="8">
        <f t="array" ref="K113">SUMIF($F$3:$F$106,"Brent Cole",$K$3:$K$106)</f>
        <v>4199.8</v>
      </c>
    </row>
    <row r="114" spans="2:11" ht="14.25" customHeight="1">
      <c r="B114" s="5">
        <v>100521</v>
      </c>
      <c r="C114" s="11" t="s">
        <v>19</v>
      </c>
      <c r="G114" s="7" t="s">
        <v>27</v>
      </c>
      <c r="H114" s="9">
        <f t="array" ref="H114">SUMIF($F$3:$F$106,"Coeur Alaska, Inc",$H$3:$H$106)</f>
        <v>0</v>
      </c>
      <c r="I114" s="9">
        <f t="array" ref="I114">SUMIF($F$3:$F$106,"Coeur Alaska, Inc",$I$3:$I$106)</f>
        <v>0</v>
      </c>
      <c r="J114" s="9">
        <f t="array" ref="J114">SUMIF($F$3:$F$106,"Coeur Alaska, Inc",$J$3:$J$106)</f>
        <v>0</v>
      </c>
      <c r="K114" s="8">
        <f t="array" ref="K114">SUMIF($F$3:$F$106,"Coeur Alaska, Inc",$K$3:$K$106)</f>
        <v>0</v>
      </c>
    </row>
    <row r="115" spans="2:11" ht="14.25" customHeight="1">
      <c r="B115" s="5">
        <v>100522</v>
      </c>
      <c r="C115" s="11" t="s">
        <v>20</v>
      </c>
      <c r="G115" s="7" t="s">
        <v>153</v>
      </c>
      <c r="H115" s="9">
        <f t="array" ref="H115">SUMIF($F$3:$F$106,"Commercial Fuelwood",$H$3:$H$106)</f>
        <v>16.55</v>
      </c>
      <c r="I115" s="9">
        <f t="array" ref="I115">SUMIF($F$3:$F$106,"Commercial Fuelwood",$I$3:$I$106)</f>
        <v>0</v>
      </c>
      <c r="J115" s="9">
        <f t="array" ref="J115">SUMIF($F$3:$F$106,"Commercial Fuelwood",$J$3:$J$106)</f>
        <v>16.55</v>
      </c>
      <c r="K115" s="8">
        <f t="array" ref="K115">SUMIF($F$3:$F$106,"Commercial Fuelwood",$K$3:$K$106)</f>
        <v>168</v>
      </c>
    </row>
    <row r="116" spans="2:11" ht="14.25" customHeight="1">
      <c r="B116" s="5">
        <v>100531</v>
      </c>
      <c r="C116" s="11" t="s">
        <v>56</v>
      </c>
      <c r="G116" s="7" t="s">
        <v>39</v>
      </c>
      <c r="H116" s="9">
        <f t="array" ref="H116">SUMIF($F$3:$F$106,"Commercial Sawlog",$H$3:$H$106)</f>
        <v>0</v>
      </c>
      <c r="I116" s="9">
        <f t="array" ref="I116">SUMIF($F$3:$F$106,"Commercial Sawlog",$I$3:$I$106)</f>
        <v>0</v>
      </c>
      <c r="J116" s="9">
        <f t="array" ref="J116">SUMIF($F$3:$F$106,"Commercial Sawlog",$J$3:$J$106)</f>
        <v>0</v>
      </c>
      <c r="K116" s="8">
        <f t="array" ref="K116">SUMIF($F$3:$F$106,"Commercial Sawlog",$K$3:$K$106)</f>
        <v>0</v>
      </c>
    </row>
    <row r="117" spans="2:11" ht="14.25" customHeight="1">
      <c r="B117" s="5">
        <v>100532</v>
      </c>
      <c r="C117" s="11" t="s">
        <v>15</v>
      </c>
      <c r="G117" s="7" t="s">
        <v>157</v>
      </c>
      <c r="H117" s="9">
        <f>SUMIF($F$3:$F$106,"Commercial Products",$H$3:$H$106)</f>
        <v>0</v>
      </c>
      <c r="I117" s="9">
        <f>SUMIF($F$3:$F$106,"Commercial Products",$I$3:$I$106)</f>
        <v>0</v>
      </c>
      <c r="J117" s="9">
        <f>SUMIF($F$3:$F$106,"Commercial Products",$J$3:$J$106)</f>
        <v>0</v>
      </c>
      <c r="K117" s="8">
        <f>SUMIF($F$3:$F$106,"Commercial Products",$K$3:$K$106)</f>
        <v>0</v>
      </c>
    </row>
    <row r="118" spans="2:11" ht="14.25" customHeight="1">
      <c r="B118" s="5">
        <v>100533</v>
      </c>
      <c r="C118" s="11" t="s">
        <v>18</v>
      </c>
      <c r="G118" s="7" t="s">
        <v>45</v>
      </c>
      <c r="H118" s="9">
        <f>SUMIF($F$3:$F$106,"CSL Farm &amp; Supply",$H$3:$H$106)</f>
        <v>470.4</v>
      </c>
      <c r="I118" s="9">
        <f>SUMIF($F$3:$F$106,"CSL Farm &amp; Supply",$I$3:$I$106)</f>
        <v>239.54</v>
      </c>
      <c r="J118" s="9">
        <f t="array" ref="J118">SUMIF($F$3:$F$106,"CSL Farm &amp; Supply",$J$3:$J$106)</f>
        <v>230.86</v>
      </c>
      <c r="K118" s="8">
        <f t="array" ref="K118">SUMIF($F$3:$F$106,"CSL Farm &amp; Supply",$K$3:$K$106)</f>
        <v>2162.4299999999998</v>
      </c>
    </row>
    <row r="119" spans="2:11" ht="14.25" customHeight="1">
      <c r="B119" s="5">
        <v>100534</v>
      </c>
      <c r="C119" s="11" t="s">
        <v>57</v>
      </c>
      <c r="G119" s="10" t="s">
        <v>90</v>
      </c>
      <c r="H119" s="9">
        <f>SUMIF($F$3:$F$106,"Custom Cut LLC",$H$3:$H$106)</f>
        <v>744.49</v>
      </c>
      <c r="I119" s="9">
        <f>SUMIF($F$3:$F$106,"Custom Cut LLC",$I$3:$I$106)</f>
        <v>601.62</v>
      </c>
      <c r="J119" s="9">
        <f t="array" ref="J119">SUMIF($F$3:$F$106,"Custom Cut LLC",$J$3:$J$106)</f>
        <v>142.87</v>
      </c>
      <c r="K119" s="8">
        <f>SUMIF($F$3:$F$106,"Custom Cut LLC",$K$3:$K$106)</f>
        <v>4824.45</v>
      </c>
    </row>
    <row r="120" spans="2:11" ht="14.25" customHeight="1">
      <c r="B120" s="5">
        <v>100535</v>
      </c>
      <c r="C120" s="11" t="s">
        <v>13</v>
      </c>
      <c r="G120" s="7" t="s">
        <v>43</v>
      </c>
      <c r="H120" s="9">
        <f t="array" ref="H120">SUMIF($F$3:$F$106,"D&amp;L Woodworks",$H$3:$H$106)</f>
        <v>398</v>
      </c>
      <c r="I120" s="9">
        <f t="array" ref="I120">SUMIF($F$3:$F$106,"D&amp;L Woodworks",$I$3:$I$106)</f>
        <v>61.5</v>
      </c>
      <c r="J120" s="9">
        <f t="array" ref="J120">SUMIF($F$3:$F$106,"D&amp;L Woodworks",$J$3:$J$106)</f>
        <v>336.5</v>
      </c>
      <c r="K120" s="8">
        <f t="array" ref="K120">SUMIF($F$3:$F$106,"D&amp;L Woodworks",$K$3:$K$106)</f>
        <v>23979.08</v>
      </c>
    </row>
    <row r="121" spans="2:11" ht="14.25" customHeight="1">
      <c r="B121" s="5">
        <v>100551</v>
      </c>
      <c r="C121" s="11" t="s">
        <v>16</v>
      </c>
      <c r="G121" s="10" t="s">
        <v>160</v>
      </c>
      <c r="H121" s="9">
        <f>SUMIF($F$3:$F$106,"DOT/PF State of Alaska",$H$3:$H$106)</f>
        <v>3601</v>
      </c>
      <c r="I121" s="9">
        <f>SUMIF($F$3:$F$106,"DOT/PF State of Alaska",$I$3:$I$106)</f>
        <v>0</v>
      </c>
      <c r="J121" s="9">
        <f>SUMIF($F$3:$F$106,"DOT/PF State of Alaska",$J$3:$J$106)</f>
        <v>3601</v>
      </c>
      <c r="K121" s="8">
        <f>SUMIF($F$3:$F$106,"DOT/PF State of Alaska",$K$3:$K$106)</f>
        <v>181037.1</v>
      </c>
    </row>
    <row r="122" spans="2:11" ht="14.25" customHeight="1">
      <c r="B122" s="5">
        <v>100552</v>
      </c>
      <c r="C122" s="11" t="s">
        <v>17</v>
      </c>
      <c r="G122" s="7" t="s">
        <v>12</v>
      </c>
      <c r="H122" s="9">
        <f t="array" ref="H122">SUMIF($F$3:$F$106,"Ernie Eads",$H$3:$H$106)</f>
        <v>1434.4</v>
      </c>
      <c r="I122" s="9">
        <f t="array" ref="I122">SUMIF($F$3:$F$106,"Ernie Eads",$I$3:$I$106)</f>
        <v>468.16999999999996</v>
      </c>
      <c r="J122" s="9">
        <f t="array" ref="J122">SUMIF($F$3:$F$106,"Ernie Eads",$J$3:$J$106)</f>
        <v>966.23</v>
      </c>
      <c r="K122" s="8">
        <f t="array" ref="K122">SUMIF($F$3:$F$106,"Ernie Eads",$K$3:$K$106)</f>
        <v>67143.58</v>
      </c>
    </row>
    <row r="123" spans="2:11" ht="14.25" customHeight="1">
      <c r="B123" s="5">
        <v>100554</v>
      </c>
      <c r="C123" s="11" t="s">
        <v>14</v>
      </c>
      <c r="G123" s="7" t="s">
        <v>75</v>
      </c>
      <c r="H123" s="9">
        <f t="array" ref="H123">SUMIF($F$3:$F$106,"Gordon Chew",$H$3:$H$106)</f>
        <v>172.29000000000002</v>
      </c>
      <c r="I123" s="9">
        <f t="array" ref="I123">SUMIF($F$3:$F$106,"Gordon Chew",$I$3:$I$106)</f>
        <v>0</v>
      </c>
      <c r="J123" s="9">
        <f t="array" ref="J123">SUMIF($F$3:$F$106,"Gordon Chew",$J$3:$J$106)</f>
        <v>172.29000000000002</v>
      </c>
      <c r="K123" s="8">
        <f t="array" ref="K123">SUMIF($F$3:$F$106,"Gordon Chew",$K$3:$K$106)</f>
        <v>2142.14</v>
      </c>
    </row>
    <row r="124" spans="2:11" ht="14.25" customHeight="1">
      <c r="G124" s="7" t="s">
        <v>24</v>
      </c>
      <c r="H124" s="9">
        <f t="array" ref="H124">SUMIF($F$3:$F$106,"H &amp; L Salvage, Inc",$H$3:$H$106)</f>
        <v>1204.3699999999999</v>
      </c>
      <c r="I124" s="9">
        <f t="array" ref="I124">SUMIF($F$3:$F$106,"H &amp; L Salvage, Inc",$I$3:$I$106)</f>
        <v>409.68</v>
      </c>
      <c r="J124" s="9">
        <f t="array" ref="J124">SUMIF($F$3:$F$106,"H &amp; L Salvage, Inc",$J$3:$J$106)</f>
        <v>794.69</v>
      </c>
      <c r="K124" s="8">
        <f t="array" ref="K124">SUMIF($F$3:$F$106,"H &amp; L Salvage, Inc",$K$3:$K$106)</f>
        <v>37329.72</v>
      </c>
    </row>
    <row r="125" spans="2:11" ht="14.25" customHeight="1">
      <c r="G125" s="29" t="s">
        <v>154</v>
      </c>
      <c r="H125" s="9">
        <f>SUMIF($F$3:$F$106,"Hecla Greens Creek Mining",$H$3:$H$106)</f>
        <v>428</v>
      </c>
      <c r="I125" s="9">
        <f>SUMIF($F$3:$F$106,"Hecla Greens Creek Mining",$I$3:$I$106)</f>
        <v>0</v>
      </c>
      <c r="J125" s="9">
        <f>SUMIF($F$3:$F$106,"Hecla Greens Creek Mining",$J$3:$J$106)</f>
        <v>428</v>
      </c>
      <c r="K125" s="8">
        <f>SUMIF($F$3:$F$106,"Hecla Greens Creek Mining",$K$3:$K$106)</f>
        <v>1916</v>
      </c>
    </row>
    <row r="126" spans="2:11" ht="14.25" customHeight="1">
      <c r="G126" s="7" t="s">
        <v>190</v>
      </c>
      <c r="H126" s="9">
        <f>SUMIF($F$3:$F$106,"Henry Drechnowicz",$H$3:$H$106)</f>
        <v>90</v>
      </c>
      <c r="I126" s="9">
        <f>SUMIF($F$3:$F$106,"Henry Drechnowicz",$I$3:$I$106)</f>
        <v>0</v>
      </c>
      <c r="J126" s="9">
        <f>SUMIF($F$3:$F$106,"Henry Drechnowicz",$J$3:$J$106)</f>
        <v>90</v>
      </c>
      <c r="K126" s="8">
        <f>SUMIF($F$3:$F$106,"Henry Drechnowicz",$K$3:$K$106)</f>
        <v>900</v>
      </c>
    </row>
    <row r="127" spans="2:11" ht="14.25" customHeight="1">
      <c r="G127" s="7" t="s">
        <v>8</v>
      </c>
      <c r="H127" s="9">
        <f t="array" ref="H127">SUMIF($F$3:$F$106,"Icy Straits Lumber &amp; Mill",$H$3:$H$106)</f>
        <v>9828.48</v>
      </c>
      <c r="I127" s="9">
        <f t="array" ref="I127">SUMIF($F$3:$F$106,"Icy Straits Lumber &amp; Mill",$I$3:$I$106)</f>
        <v>98.05</v>
      </c>
      <c r="J127" s="9">
        <f t="array" ref="J127">SUMIF($F$3:$F$106,"Icy Straits Lumber &amp; Mill",$J$3:$J$106)</f>
        <v>9730.43</v>
      </c>
      <c r="K127" s="8">
        <f t="array" ref="K127">SUMIF($F$3:$F$106,"Icy Straits Lumber &amp; Mill",$K$3:$K$106)</f>
        <v>81425.84</v>
      </c>
    </row>
    <row r="128" spans="2:11" ht="14.25" customHeight="1">
      <c r="G128" s="7" t="s">
        <v>25</v>
      </c>
      <c r="H128" s="9">
        <f t="array" ref="H128">SUMIF($F$3:$F$106,"James Harrison",$H$3:$H$106)</f>
        <v>695.14</v>
      </c>
      <c r="I128" s="9">
        <f t="array" ref="I128">SUMIF($F$3:$F$106,"James Harrison",$I$3:$I$106)</f>
        <v>217.14</v>
      </c>
      <c r="J128" s="9">
        <f t="array" ref="J128">SUMIF($F$3:$F$106,"James Harrison",$J$3:$J$106)</f>
        <v>478</v>
      </c>
      <c r="K128" s="8">
        <f t="array" ref="K128">SUMIF($F$3:$F$106,"James Harrison",$K$3:$K$106)</f>
        <v>22129.75</v>
      </c>
    </row>
    <row r="129" spans="7:11" ht="14.25" customHeight="1">
      <c r="G129" s="7" t="s">
        <v>197</v>
      </c>
      <c r="H129" s="9">
        <f>SUMIF($F$3:$F$106,"Jim Skogstad",$H$3:$H$106)</f>
        <v>89.5</v>
      </c>
      <c r="I129" s="9">
        <f>SUMIF($F$3:$F$106,"Jim Skogstad",$I$3:$I$106)</f>
        <v>0</v>
      </c>
      <c r="J129" s="9">
        <f>SUMIF($F$3:$F$106,"Jim Skogstad",$J$3:$J$106)</f>
        <v>89.5</v>
      </c>
      <c r="K129" s="8">
        <f>SUMIF($F$3:$F$106,"Jim Skogstad",$K$3:$K$106)</f>
        <v>9698.5</v>
      </c>
    </row>
    <row r="130" spans="7:11" ht="14.25" customHeight="1">
      <c r="G130" s="7" t="s">
        <v>81</v>
      </c>
      <c r="H130" s="9">
        <f t="array" ref="H130">SUMIF($F$3:$F$106,"Jerod Cook",$H$3:$H$106)</f>
        <v>72</v>
      </c>
      <c r="I130" s="9">
        <f t="array" ref="I130">SUMIF($F$3:$F$106,"Jerod Cook",$I$3:$I$106)</f>
        <v>40.5</v>
      </c>
      <c r="J130" s="9">
        <f t="array" ref="J130">SUMIF($F$3:$F$106,"Jerod Cook",$J$3:$J$106)</f>
        <v>31.5</v>
      </c>
      <c r="K130" s="8">
        <f t="array" ref="K130">SUMIF($F$3:$F$106,"Jerod Cook",$K$3:$K$106)</f>
        <v>167.16</v>
      </c>
    </row>
    <row r="131" spans="7:11" ht="14.25" customHeight="1">
      <c r="G131" s="7" t="s">
        <v>207</v>
      </c>
      <c r="H131" s="9">
        <f>SUMIF($F$3:$F$106,"Jerry Baker",$H$3:$H$106)</f>
        <v>4</v>
      </c>
      <c r="I131" s="9">
        <f>SUMIF($F$3:$F$106,"Jerry Baker",$I$3:$I$106)</f>
        <v>0</v>
      </c>
      <c r="J131" s="9">
        <f>SUMIF($F$3:$F$106,"Jerry Baker",$J$3:$J$106)</f>
        <v>4</v>
      </c>
      <c r="K131" s="8">
        <f>SUMIF($F$3:$F$106,"Jerry Baker",$K$3:$K$106)</f>
        <v>25</v>
      </c>
    </row>
    <row r="132" spans="7:11" ht="14.25" customHeight="1">
      <c r="G132" s="7" t="s">
        <v>7</v>
      </c>
      <c r="H132" s="9">
        <f t="array" ref="H132">SUMIF($F$3:$F$106,"Keith Dahl",$H$3:$H$106)</f>
        <v>899</v>
      </c>
      <c r="I132" s="9">
        <f t="array" ref="I132">SUMIF($F$3:$F$106,"Keith Dahl",$I$3:$I$106)</f>
        <v>0</v>
      </c>
      <c r="J132" s="9">
        <f t="array" ref="J132">SUMIF($F$3:$F$106,"Keith Dahl",$J$3:$J$106)</f>
        <v>899</v>
      </c>
      <c r="K132" s="8">
        <f t="array" ref="K132">SUMIF($F$3:$F$106,"Keith Dahl",$K$3:$K$106)</f>
        <v>83544.739999999991</v>
      </c>
    </row>
    <row r="133" spans="7:11" ht="14.25" customHeight="1">
      <c r="G133" s="7" t="s">
        <v>222</v>
      </c>
      <c r="H133" s="9">
        <f>SUMIF($F$3:$F$106,"Larry Clark",$H$3:$H$106)</f>
        <v>7</v>
      </c>
      <c r="I133" s="9">
        <f>SUMIF($F$3:$F$106,"Larry Clark",$I$3:$I$106)</f>
        <v>0</v>
      </c>
      <c r="J133" s="9">
        <f>SUMIF($F$3:$F$106,"Larry Clark",$J$3:$J$106)</f>
        <v>7</v>
      </c>
      <c r="K133" s="8">
        <f>SUMIF($F$3:$F$106,"Larry Clark",$K$3:$K$106)</f>
        <v>100</v>
      </c>
    </row>
    <row r="134" spans="7:11" ht="14.25" customHeight="1">
      <c r="G134" s="7" t="s">
        <v>36</v>
      </c>
      <c r="H134" s="9">
        <f t="array" ref="H134">SUMIF($F$3:$F$106,"Larry Trumble",$H$3:$H$106)</f>
        <v>19</v>
      </c>
      <c r="I134" s="9">
        <f t="array" ref="I134">SUMIF($F$3:$F$106,"Larry Trumble",$I$3:$I$106)</f>
        <v>3</v>
      </c>
      <c r="J134" s="9">
        <f t="array" ref="J134">SUMIF($F$3:$F$106,"Larry Trumble",$J$3:$J$106)</f>
        <v>16</v>
      </c>
      <c r="K134" s="8">
        <f t="array" ref="K134">SUMIF($F$3:$F$106,"Larry Trumble",$K$3:$K$106)</f>
        <v>525.76</v>
      </c>
    </row>
    <row r="135" spans="7:11" ht="14.25" customHeight="1">
      <c r="G135" s="1" t="s">
        <v>158</v>
      </c>
      <c r="H135" s="9">
        <f>SUMIF($F$3:$F$106,"Luther J Coby",$H$3:$H$106)</f>
        <v>39</v>
      </c>
      <c r="I135" s="9">
        <f>SUMIF($F$3:$F$106,"Luther J Coby",$I$3:$I$106)</f>
        <v>39</v>
      </c>
      <c r="J135" s="9">
        <f>SUMIF($F$3:$F$106,"Luther J Coby",$J$3:$J$106)</f>
        <v>0</v>
      </c>
      <c r="K135" s="8">
        <f>SUMIF($F$3:$F$106,"Luther J Coby",$K$3:$K$106)</f>
        <v>0</v>
      </c>
    </row>
    <row r="136" spans="7:11" ht="14.25" customHeight="1">
      <c r="G136" s="7" t="s">
        <v>218</v>
      </c>
      <c r="H136" s="9">
        <f>SUMIF($F$3:$F$106,"Marc Roderic",$H$3:$H$106)</f>
        <v>51</v>
      </c>
      <c r="I136" s="9">
        <f>SUMIF($F$3:$F$106,"Marc Roderic",$I$3:$I$106)</f>
        <v>0</v>
      </c>
      <c r="J136" s="9">
        <f>SUMIF($F$3:$F$106,"Marc Roderic",$J$3:$J$106)</f>
        <v>51</v>
      </c>
      <c r="K136" s="8">
        <f>SUMIF($F$3:$F$106,"Marc Roderic",$K$3:$K$106)</f>
        <v>8362.98</v>
      </c>
    </row>
    <row r="137" spans="7:11" ht="14.25" customHeight="1">
      <c r="G137" s="7" t="s">
        <v>165</v>
      </c>
      <c r="H137" s="9">
        <f>SUMIF($F$3:$F$106,"Michael B Allen",$H$3:$H$106)</f>
        <v>6044.7699999999995</v>
      </c>
      <c r="I137" s="9">
        <f>SUMIF($F$3:$F$106,"Michael B Allen",$I$3:$I$106)</f>
        <v>5217.04</v>
      </c>
      <c r="J137" s="9">
        <f>SUMIF($F$3:$F$106,"Michael B Allen",$J$3:$J$106)</f>
        <v>827.73</v>
      </c>
      <c r="K137" s="8">
        <f>SUMIF($F$3:$F$106,"Michael B Allen",$K$3:$K$106)</f>
        <v>7157.37</v>
      </c>
    </row>
    <row r="138" spans="7:11" ht="14.25" customHeight="1">
      <c r="G138" s="7" t="s">
        <v>172</v>
      </c>
      <c r="H138" s="9">
        <f>SUMIF($F$3:$F$106,"Michael Johnson",$H$3:$H$106)</f>
        <v>79.2</v>
      </c>
      <c r="I138" s="9">
        <f>SUMIF($F$3:$F$106,"Michael Johnson",$I$3:$I$106)</f>
        <v>0</v>
      </c>
      <c r="J138" s="9">
        <f>SUMIF($F$3:$F$106,"Michael Johnson",$J$3:$J$106)</f>
        <v>79.2</v>
      </c>
      <c r="K138" s="8">
        <f>SUMIF($F$3:$F$106,"Michael Johnson",$K$3:$K$106)</f>
        <v>816.98</v>
      </c>
    </row>
    <row r="139" spans="7:11" ht="14.25" customHeight="1">
      <c r="G139" s="7" t="s">
        <v>168</v>
      </c>
      <c r="H139" s="9">
        <f>SUMIF($F$3:$F$106,"Mike Jones",$H$3:$H$106)</f>
        <v>46.5</v>
      </c>
      <c r="I139" s="9">
        <f>SUMIF($F$3:$F$106,"Mike Jones",$I$3:$I$106)</f>
        <v>0</v>
      </c>
      <c r="J139" s="9">
        <f>SUMIF($F$3:$F$106,"Mike Jones",$J$3:$J$106)</f>
        <v>46.5</v>
      </c>
      <c r="K139" s="8">
        <f>SUMIF($F$3:$F$106,"Mike Jones",$K$3:$K$106)</f>
        <v>6324</v>
      </c>
    </row>
    <row r="140" spans="7:11" ht="14.25" customHeight="1">
      <c r="G140" s="7" t="s">
        <v>5</v>
      </c>
      <c r="H140" s="9">
        <f t="array" ref="H140">SUMIF($F$3:$F$106,"Pacific Log &amp; Lumber Ltd",$H$3:$H$106)</f>
        <v>51566.22</v>
      </c>
      <c r="I140" s="9">
        <f t="array" ref="I140">SUMIF($F$3:$F$106,"Pacific Log &amp; Lumber Ltd",$I$3:$I$106)</f>
        <v>28143.519999999997</v>
      </c>
      <c r="J140" s="9">
        <f t="array" ref="J140">SUMIF($F$3:$F$106,"Pacific Log &amp; Lumber Ltd",$J$3:$J$106)</f>
        <v>23422.699999999997</v>
      </c>
      <c r="K140" s="8">
        <f t="array" ref="K140">SUMIF($F$3:$F$106,"Pacific Log &amp; Lumber Ltd",$K$3:$K$106)</f>
        <v>339129.34</v>
      </c>
    </row>
    <row r="141" spans="7:11" ht="14.25" customHeight="1">
      <c r="G141" s="7" t="s">
        <v>2</v>
      </c>
      <c r="H141" s="9">
        <f t="array" ref="H141">SUMIF($F$3:$F$106,"Porter Lumber",$H$3:$H$106)</f>
        <v>140</v>
      </c>
      <c r="I141" s="9">
        <f t="array" ref="I141">SUMIF($F$3:$F$106,"Porter Lumber",$I$3:$I$106)</f>
        <v>0</v>
      </c>
      <c r="J141" s="9">
        <f t="array" ref="J141">SUMIF($F$3:$F$106,"Porter Lumber",$J$3:$J$106)</f>
        <v>140</v>
      </c>
      <c r="K141" s="8">
        <f t="array" ref="K141">SUMIF($F$3:$F$106,"Porter Lumber",$K$3:$K$106)</f>
        <v>5802.37</v>
      </c>
    </row>
    <row r="142" spans="7:11" ht="14.25" customHeight="1">
      <c r="G142" s="7" t="s">
        <v>42</v>
      </c>
      <c r="H142" s="9">
        <f t="array" ref="H142">SUMIF($F$3:$F$106,"R&amp;R Conner Inc",$H$3:$H$106)</f>
        <v>1147.58</v>
      </c>
      <c r="I142" s="9">
        <f t="array" ref="I142">SUMIF($F$3:$F$106,"R&amp;R Conner Inc",$I$3:$I$106)</f>
        <v>984.2</v>
      </c>
      <c r="J142" s="9">
        <f t="array" ref="J142">SUMIF($F$3:$F$106,"R&amp;R Conner Inc",$J$3:$J$106)</f>
        <v>163.38</v>
      </c>
      <c r="K142" s="8">
        <f t="array" ref="K142">SUMIF($F$3:$F$106,"R&amp;R Conner Inc",$K$3:$K$106)</f>
        <v>852.87</v>
      </c>
    </row>
    <row r="143" spans="7:11" ht="14.25" customHeight="1">
      <c r="G143" s="7" t="s">
        <v>143</v>
      </c>
      <c r="H143" s="9">
        <f>SUMIF($F$3:$F$106,"Scott Hill Skyline Logging",$H$3:$H$106)</f>
        <v>493</v>
      </c>
      <c r="I143" s="9">
        <f>SUMIF($F$3:$F$106,"Scott Hill Skyline Logging",$I$3:$I$106)</f>
        <v>0</v>
      </c>
      <c r="J143" s="9">
        <f>SUMIF($F$3:$F$106,"Scott Hill Skyline Logging",$J$3:$J$106)</f>
        <v>493</v>
      </c>
      <c r="K143" s="8">
        <f>SUMIF($F$3:$F$106,"Scott Hill Skyline Logging",$K$3:$K$106)</f>
        <v>4810</v>
      </c>
    </row>
    <row r="144" spans="7:11" ht="14.25" customHeight="1">
      <c r="G144" s="7" t="s">
        <v>139</v>
      </c>
      <c r="H144" s="9">
        <f>SUMIF($F$3:$F$106,"Sharp Lumber",$H$3:$H$106)</f>
        <v>1355.23</v>
      </c>
      <c r="I144" s="9">
        <f>SUMIF($F$3:$F$106,"Sharp Lumber",$I$3:$I$106)</f>
        <v>1077.23</v>
      </c>
      <c r="J144" s="9">
        <f>SUMIF($F$3:$F$106,"Sharp Lumber",$J$3:$J$106)</f>
        <v>278</v>
      </c>
      <c r="K144" s="8">
        <f>SUMIF($F$3:$F$106,"Sharp Lumber",$K$3:$K$106)</f>
        <v>8618</v>
      </c>
    </row>
    <row r="145" spans="1:11" ht="14.25" customHeight="1">
      <c r="G145" s="7" t="s">
        <v>33</v>
      </c>
      <c r="H145" s="9">
        <f t="array" ref="H145">SUMIF($F$3:$F$106,"Steve Little",$H$3:$H$106)</f>
        <v>159.88999999999999</v>
      </c>
      <c r="I145" s="9">
        <f t="array" ref="I145">SUMIF($F$3:$F$106,"Steve Little",$I$3:$I$106)</f>
        <v>0</v>
      </c>
      <c r="J145" s="9">
        <f t="array" ref="J145">SUMIF($F$3:$F$106,"Steve Little",$J$3:$J$106)</f>
        <v>159.88999999999999</v>
      </c>
      <c r="K145" s="8">
        <f t="array" ref="K145">SUMIF($F$3:$F$106,"Steve Little",$K$3:$K$106)</f>
        <v>2825.71</v>
      </c>
    </row>
    <row r="146" spans="1:11" ht="14.25" customHeight="1">
      <c r="G146" s="7" t="s">
        <v>209</v>
      </c>
      <c r="H146" s="9">
        <f>SUMIF($F$3:$F$106,"St. Nick Forest Products",$H$3:$H$106)</f>
        <v>474</v>
      </c>
      <c r="I146" s="9">
        <f>SUMIF($F$3:$F$106,"St. Nick Forest Products",$I$3:$I$106)</f>
        <v>0</v>
      </c>
      <c r="J146" s="9">
        <f>SUMIF($F$3:$F$106,"St. Nick Forest Products",$J$3:$J$106)</f>
        <v>474</v>
      </c>
      <c r="K146" s="8">
        <f>SUMIF($F$3:$F$106,"St. Nick Forest Products",$K$3:$K$106)</f>
        <v>32139.93</v>
      </c>
    </row>
    <row r="147" spans="1:11" ht="14.25" customHeight="1">
      <c r="G147" s="7" t="s">
        <v>185</v>
      </c>
      <c r="H147" s="9">
        <f>SUMIF($F$3:$F$106,"TM Construction, Inc",$H$3:$H$106)</f>
        <v>131</v>
      </c>
      <c r="I147" s="9">
        <f>SUMIF($F$3:$F$106,"TM Construction, Inc",$I$3:$I$106)</f>
        <v>6.5</v>
      </c>
      <c r="J147" s="9">
        <f>SUMIF($F$3:$F$106,"TM Construction, Inc",$J$3:$J$106)</f>
        <v>124.5</v>
      </c>
      <c r="K147" s="8">
        <f>SUMIF($F$3:$F$106,"TM Construction, Inc",$K$3:$K$106)</f>
        <v>1618.5</v>
      </c>
    </row>
    <row r="148" spans="1:11" ht="14.25" customHeight="1">
      <c r="G148" s="7" t="s">
        <v>31</v>
      </c>
      <c r="H148" s="9">
        <f t="array" ref="H148">SUMIF($F$3:$F$106,"Viking Lumber Company",$H$3:$H$106)</f>
        <v>103458.31999999999</v>
      </c>
      <c r="I148" s="9">
        <f t="array" ref="I148">SUMIF($F$3:$F$106,"Viking Lumber Company",$I$3:$I$106)</f>
        <v>67005.48</v>
      </c>
      <c r="J148" s="9">
        <f t="array" ref="J148">SUMIF($F$3:$F$106,"Viking Lumber Company",$J$3:$J$106)</f>
        <v>36452.839999999997</v>
      </c>
      <c r="K148" s="8">
        <f t="array" ref="K148">SUMIF($F$3:$F$106,"Viking Lumber Company",$K$3:$K$106)</f>
        <v>2210601.4899999998</v>
      </c>
    </row>
    <row r="149" spans="1:11" ht="14.25" customHeight="1">
      <c r="G149" s="7" t="s">
        <v>83</v>
      </c>
      <c r="H149" s="9">
        <f t="array" ref="H149">SUMIF($F$3:$F$106,"Vincent S. Schafer",$H$3:$H$106)</f>
        <v>90</v>
      </c>
      <c r="I149" s="9">
        <f t="array" ref="I149">SUMIF($F$3:$F$106,"Vincent S. Schafer",$I$3:$I$106)</f>
        <v>16</v>
      </c>
      <c r="J149" s="9">
        <f t="array" ref="J149">SUMIF($F$3:$F$106,"Vincent S. Schafer",$J$3:$J$106)</f>
        <v>74</v>
      </c>
      <c r="K149" s="8">
        <f t="array" ref="K149">SUMIF($F$3:$F$106,"Vincent S. Schafer",$K$3:$K$106)</f>
        <v>629.5</v>
      </c>
    </row>
    <row r="150" spans="1:11" ht="14.25" customHeight="1">
      <c r="G150" s="7" t="s">
        <v>51</v>
      </c>
      <c r="H150" s="9">
        <f t="array" ref="H150">SUMIF($F$3:$F$106,"William Kaufman",$H$3:$H$106)</f>
        <v>24</v>
      </c>
      <c r="I150" s="9">
        <f t="array" ref="I150">SUMIF($F$3:$F$106,"William Kaufman",$I$3:$I$106)</f>
        <v>6</v>
      </c>
      <c r="J150" s="9">
        <f t="array" ref="J150">SUMIF($F$3:$F$106,"William Kaufman",$J$3:$J$106)</f>
        <v>18</v>
      </c>
      <c r="K150" s="8">
        <f t="array" ref="K150">SUMIF($F$3:$F$106,"William Kaufman",$K$3:$K$106)</f>
        <v>650.96</v>
      </c>
    </row>
    <row r="151" spans="1:11" ht="14.25" customHeight="1">
      <c r="G151" s="43" t="s">
        <v>226</v>
      </c>
      <c r="H151" s="9">
        <f>SUMIF($F$3:$F$106,"William L.Cheney",$H$3:$H$106)</f>
        <v>48</v>
      </c>
      <c r="I151" s="9">
        <f>SUMIF($F$3:$F$106,"William L.Cheney",$I$3:$I$106)</f>
        <v>0</v>
      </c>
      <c r="J151" s="9">
        <f>SUMIF($F$3:$F$106,"William L.Cheney",$J$3:$J$106)</f>
        <v>48</v>
      </c>
      <c r="K151" s="8">
        <f>SUMIF($F$3:$F$106,"William L.Cheney",$K$3:$K$106)</f>
        <v>227.12</v>
      </c>
    </row>
    <row r="152" spans="1:11" ht="14.25" customHeight="1">
      <c r="G152" s="7" t="s">
        <v>32</v>
      </c>
      <c r="H152" s="9">
        <f t="array" ref="H152">SUMIF($F$3:$F$106,"William Thomason",$H$3:$H$106)</f>
        <v>1262.68</v>
      </c>
      <c r="I152" s="9">
        <f t="array" ref="I152">SUMIF($F$3:$F$106,"William Thomason",$I$3:$I$106)</f>
        <v>142.88</v>
      </c>
      <c r="J152" s="9">
        <f t="array" ref="J152">SUMIF($F$3:$F$106,"William Thomason",$J$3:$J$106)</f>
        <v>1119.8</v>
      </c>
      <c r="K152" s="8">
        <f t="array" ref="K152">SUMIF($F$3:$F$106,"William Thomason",$K$3:$K$106)</f>
        <v>62904.560000000005</v>
      </c>
    </row>
    <row r="153" spans="1:11" ht="14.25" customHeight="1"/>
    <row r="154" spans="1:11" ht="14.25" customHeight="1" thickBot="1">
      <c r="G154" s="16"/>
      <c r="H154" s="49">
        <f>SUM(H111:H153)</f>
        <v>210798.22999999998</v>
      </c>
      <c r="I154" s="49">
        <f>SUM(I111:I153)</f>
        <v>112124.32</v>
      </c>
      <c r="J154" s="49">
        <f>SUM(J111:J153)</f>
        <v>98673.909999999989</v>
      </c>
      <c r="K154" s="50">
        <f>SUM(K111:K153)</f>
        <v>3422309.23</v>
      </c>
    </row>
    <row r="155" spans="1:11" ht="14.25" customHeight="1" thickTop="1"/>
    <row r="156" spans="1:11" ht="30" customHeight="1">
      <c r="A156" s="22"/>
      <c r="B156" s="23"/>
      <c r="C156" s="23"/>
      <c r="D156" s="24"/>
      <c r="E156" s="24"/>
      <c r="F156" s="25"/>
      <c r="G156" s="26" t="s">
        <v>70</v>
      </c>
      <c r="H156" s="44" t="s">
        <v>48</v>
      </c>
      <c r="I156" s="44" t="s">
        <v>47</v>
      </c>
      <c r="J156" s="44" t="s">
        <v>53</v>
      </c>
      <c r="K156" s="44" t="s">
        <v>73</v>
      </c>
    </row>
    <row r="157" spans="1:11" ht="30" customHeight="1">
      <c r="B157" s="27"/>
      <c r="C157" s="28"/>
      <c r="D157" s="12"/>
      <c r="E157" s="12"/>
      <c r="G157" s="68" t="s">
        <v>92</v>
      </c>
      <c r="H157" s="68"/>
      <c r="I157" s="68"/>
      <c r="J157" s="68"/>
      <c r="K157" s="68"/>
    </row>
    <row r="158" spans="1:11">
      <c r="B158" s="5"/>
      <c r="C158" s="11"/>
      <c r="G158" s="11" t="s">
        <v>54</v>
      </c>
      <c r="H158" s="9">
        <f>SUMIF($B$3:$B$106,"100410",$H$3:$H$106)</f>
        <v>0</v>
      </c>
      <c r="I158" s="9">
        <f>SUMIF($B$3:$B$106,"100410",$I$3:$I$106)</f>
        <v>0</v>
      </c>
      <c r="J158" s="9">
        <f>SUMIF($B$3:$B$106,"100410",$J$3:$J$106)</f>
        <v>0</v>
      </c>
      <c r="K158" s="8">
        <f>SUMIF($B$3:$B$106,"100410",$K$3:$K$106)</f>
        <v>0</v>
      </c>
    </row>
    <row r="159" spans="1:11">
      <c r="B159" s="5"/>
      <c r="C159" s="11"/>
      <c r="G159" s="11" t="s">
        <v>55</v>
      </c>
      <c r="H159" s="9">
        <f t="array" ref="H159">SUMIF($B$3:$B$106,"100420",$H$3:$H$106)</f>
        <v>0</v>
      </c>
      <c r="I159" s="9">
        <f t="array" ref="I159">SUMIF($B$3:$B$106,"100420",$I$3:$I$106)</f>
        <v>0</v>
      </c>
      <c r="J159" s="9">
        <f>SUMIF($B$3:$B$106,"100420",$J$3:$J$106)</f>
        <v>0</v>
      </c>
      <c r="K159" s="8">
        <f t="array" ref="K159">SUMIF($B$3:$B$106,"100420",$K$3:$K$106)</f>
        <v>0</v>
      </c>
    </row>
    <row r="160" spans="1:11">
      <c r="B160" s="5"/>
      <c r="C160" s="11"/>
      <c r="G160" s="11" t="s">
        <v>21</v>
      </c>
      <c r="H160" s="9">
        <f t="array" ref="H160">SUMIF($B$3:$B$106,"100430",$H$3:$H$106)</f>
        <v>277</v>
      </c>
      <c r="I160" s="9">
        <f t="array" ref="I160">SUMIF($B$3:$B$106,"100430",$I$3:$I$106)</f>
        <v>0</v>
      </c>
      <c r="J160" s="9">
        <f t="array" ref="J160">SUMIF($B$3:$B$106,"100430",$J$3:$J$106)</f>
        <v>277</v>
      </c>
      <c r="K160" s="8">
        <f t="array" ref="K160">SUMIF($B$3:$B$106,"100430",$K$3:$K$106)</f>
        <v>25285.48</v>
      </c>
    </row>
    <row r="161" spans="2:11">
      <c r="B161" s="5"/>
      <c r="C161" s="11"/>
      <c r="G161" s="11" t="s">
        <v>19</v>
      </c>
      <c r="H161" s="9">
        <f t="array" ref="H161">SUMIF($B$3:$B$106,"100521",$H$3:$H$106)</f>
        <v>36598.17</v>
      </c>
      <c r="I161" s="9">
        <f t="array" ref="I161">SUMIF($B$3:$B$106,"100521",$I$3:$I$106)</f>
        <v>28693.33</v>
      </c>
      <c r="J161" s="9">
        <f t="array" ref="J161">SUMIF($B$3:$B$106,"100521",$J$3:$J$106)</f>
        <v>7904.84</v>
      </c>
      <c r="K161" s="8">
        <f t="array" ref="K161">SUMIF($B$3:$B$106,"100521",$K$3:$K$106)</f>
        <v>83478</v>
      </c>
    </row>
    <row r="162" spans="2:11">
      <c r="B162" s="5"/>
      <c r="C162" s="11"/>
      <c r="G162" s="11" t="s">
        <v>20</v>
      </c>
      <c r="H162" s="9">
        <f t="array" ref="H162">SUMIF($B$3:$B$106,"100522",$H$3:$H$106)</f>
        <v>28479.039999999997</v>
      </c>
      <c r="I162" s="9">
        <f t="array" ref="I162">SUMIF($B$3:$B$106,"100522",$I$3:$I$106)</f>
        <v>11688</v>
      </c>
      <c r="J162" s="9">
        <f t="array" ref="J162">SUMIF($B$3:$B$106,"100522",$J$3:$J$106)</f>
        <v>16791.04</v>
      </c>
      <c r="K162" s="8">
        <f t="array" ref="K162">SUMIF($B$3:$B$106,"100522",$K$3:$K$106)</f>
        <v>174344.46</v>
      </c>
    </row>
    <row r="163" spans="2:11">
      <c r="B163" s="5"/>
      <c r="C163" s="11"/>
      <c r="G163" s="11" t="s">
        <v>56</v>
      </c>
      <c r="H163" s="9">
        <f t="array" ref="H163">SUMIF($B$3:$B$106,"100531",$H$3:$H$106)</f>
        <v>303.29000000000002</v>
      </c>
      <c r="I163" s="9">
        <f t="array" ref="I163">SUMIF($B$3:$B$106,"100531",$I$3:$I$106)</f>
        <v>6.5</v>
      </c>
      <c r="J163" s="9">
        <f t="array" ref="J163">SUMIF($B$3:$B$106,"100531",$J$3:$J$106)</f>
        <v>296.79000000000002</v>
      </c>
      <c r="K163" s="8">
        <f t="array" ref="K163">SUMIF($B$3:$B$106,"100531",$K$3:$K$106)</f>
        <v>3760.64</v>
      </c>
    </row>
    <row r="164" spans="2:11">
      <c r="B164" s="5"/>
      <c r="C164" s="11"/>
      <c r="G164" s="11" t="s">
        <v>15</v>
      </c>
      <c r="H164" s="9">
        <f t="array" ref="H164">SUMIF($B$3:$B$106,"100532",$H$3:$H$106)</f>
        <v>10386.369999999999</v>
      </c>
      <c r="I164" s="9">
        <f t="array" ref="I164">SUMIF($B$3:$B$106,"100532",$I$3:$I$106)</f>
        <v>159.55000000000001</v>
      </c>
      <c r="J164" s="9">
        <f t="array" ref="J164">SUMIF($B$3:$B$106,"100532",$J$3:$J$106)</f>
        <v>10226.82</v>
      </c>
      <c r="K164" s="8">
        <f t="array" ref="K164">SUMIF($B$3:$B$106,"100532",$K$3:$K$106)</f>
        <v>108230.62999999999</v>
      </c>
    </row>
    <row r="165" spans="2:11">
      <c r="B165" s="5"/>
      <c r="C165" s="11"/>
      <c r="G165" s="11" t="s">
        <v>18</v>
      </c>
      <c r="H165" s="9">
        <f t="array" ref="H165">SUMIF($B$3:$B$106,"100533",$H$3:$H$106)</f>
        <v>3862</v>
      </c>
      <c r="I165" s="9">
        <f t="array" ref="I165">SUMIF($B$3:$B$106,"100533",$I$3:$I$106)</f>
        <v>16</v>
      </c>
      <c r="J165" s="9">
        <f>SUMIF($B$3:$B$106,"100533",$J$3:$J$106)</f>
        <v>3846</v>
      </c>
      <c r="K165" s="8">
        <f t="array" ref="K165">SUMIF($B$3:$B$106,"100533",$K$3:$K$106)</f>
        <v>182458.6</v>
      </c>
    </row>
    <row r="166" spans="2:11">
      <c r="B166" s="5"/>
      <c r="C166" s="11"/>
      <c r="G166" s="11" t="s">
        <v>57</v>
      </c>
      <c r="H166" s="9">
        <f>SUMIF($B$3:$B$106,"100534",$H$3:$H$106)</f>
        <v>257</v>
      </c>
      <c r="I166" s="9">
        <f>SUMIF($B$3:$B$106,"100534",$I$3:$I$106)</f>
        <v>0</v>
      </c>
      <c r="J166" s="9">
        <f>SUMIF($B$3:$B$106,"100534",$J$3:$J$106)</f>
        <v>257</v>
      </c>
      <c r="K166" s="8">
        <f t="array" ref="K166">SUMIF($B$3:$B$106,"100534",$K$3:$K$106)</f>
        <v>1124</v>
      </c>
    </row>
    <row r="167" spans="2:11">
      <c r="B167" s="5"/>
      <c r="C167" s="11"/>
      <c r="G167" s="11" t="s">
        <v>13</v>
      </c>
      <c r="H167" s="9">
        <f t="array" ref="H167">SUMIF($B$3:$B$106,"100535",$H$3:$H$106)</f>
        <v>79.2</v>
      </c>
      <c r="I167" s="9">
        <f t="array" ref="I167">SUMIF($B$3:$B$106,"100535",$I$3:$I$106)</f>
        <v>0</v>
      </c>
      <c r="J167" s="9">
        <f>SUMIF($B$3:$B$106,"100535",$J$3:$J$106)</f>
        <v>79.2</v>
      </c>
      <c r="K167" s="8">
        <f t="array" ref="K167">SUMIF($B$3:$B$106,"100535",$K$3:$K$106)</f>
        <v>816.98</v>
      </c>
    </row>
    <row r="168" spans="2:11">
      <c r="B168" s="5"/>
      <c r="C168" s="11"/>
      <c r="G168" s="11" t="s">
        <v>16</v>
      </c>
      <c r="H168" s="9">
        <f t="array" ref="H168">SUMIF($B$3:$B$106,"100551",$H$3:$H$106)</f>
        <v>16228.24</v>
      </c>
      <c r="I168" s="9">
        <f t="array" ref="I168">SUMIF($B$3:$B$106,"100551",$I$3:$I$106)</f>
        <v>15564.55</v>
      </c>
      <c r="J168" s="9">
        <f t="array" ref="J168">SUMIF($B$3:$B$106,"100551",$J$3:$J$106)</f>
        <v>663.69</v>
      </c>
      <c r="K168" s="8">
        <f t="array" ref="K168">SUMIF($B$3:$B$106,"100551",$K$3:$K$106)</f>
        <v>35739.15</v>
      </c>
    </row>
    <row r="169" spans="2:11">
      <c r="B169" s="5"/>
      <c r="C169" s="11"/>
      <c r="G169" s="11" t="s">
        <v>17</v>
      </c>
      <c r="H169" s="9">
        <f t="array" ref="H169">SUMIF($B$3:$B$106,"100552",$H$3:$H$106)</f>
        <v>52321.22</v>
      </c>
      <c r="I169" s="9">
        <f t="array" ref="I169">SUMIF($B$3:$B$106,"100552",$I$3:$I$106)</f>
        <v>28143.519999999997</v>
      </c>
      <c r="J169" s="9">
        <f t="array" ref="J169">SUMIF($B$3:$B$106,"100552",$J$3:$J$106)</f>
        <v>24177.699999999997</v>
      </c>
      <c r="K169" s="8">
        <f>SUMIF($B$3:$B$106,"100552",$K$3:$K$106)</f>
        <v>391034.11</v>
      </c>
    </row>
    <row r="170" spans="2:11">
      <c r="B170" s="5"/>
      <c r="C170" s="11"/>
      <c r="G170" s="11" t="s">
        <v>14</v>
      </c>
      <c r="H170" s="9">
        <f>SUMIF($B$3:$B$106,"100554",$H$3:$H$106)</f>
        <v>62006.700000000004</v>
      </c>
      <c r="I170" s="9">
        <f>SUMIF($B$3:$B$106,"100554",$I$3:$I$106)</f>
        <v>27852.87</v>
      </c>
      <c r="J170" s="9">
        <f>SUMIF($B$3:$B$106,"100554",$J$3:$J$106)</f>
        <v>34153.829999999994</v>
      </c>
      <c r="K170" s="8">
        <f>SUMIF($B$3:$B$106,"100554",$K$3:$K$106)</f>
        <v>2416037.1800000002</v>
      </c>
    </row>
    <row r="171" spans="2:11">
      <c r="G171" s="1"/>
      <c r="H171" s="9"/>
      <c r="I171" s="9"/>
      <c r="J171" s="9"/>
      <c r="K171" s="8"/>
    </row>
    <row r="172" spans="2:11" ht="14.25" customHeight="1" thickBot="1">
      <c r="G172" s="16"/>
      <c r="H172" s="49">
        <f>SUM(H158:H170)</f>
        <v>210798.22999999998</v>
      </c>
      <c r="I172" s="49">
        <f>SUM(I158:I170)</f>
        <v>112124.32</v>
      </c>
      <c r="J172" s="49">
        <f>SUM(J158:J170)</f>
        <v>98673.91</v>
      </c>
      <c r="K172" s="50">
        <f>SUM(K158:K170)</f>
        <v>3422309.2300000004</v>
      </c>
    </row>
    <row r="173" spans="2:11" ht="15.75" thickTop="1"/>
  </sheetData>
  <mergeCells count="10">
    <mergeCell ref="A97:K97"/>
    <mergeCell ref="A51:K51"/>
    <mergeCell ref="G157:K157"/>
    <mergeCell ref="A2:K2"/>
    <mergeCell ref="A94:F94"/>
    <mergeCell ref="B110:C110"/>
    <mergeCell ref="A108:F108"/>
    <mergeCell ref="F107:G107"/>
    <mergeCell ref="G110:K110"/>
    <mergeCell ref="A105:F105"/>
  </mergeCells>
  <phoneticPr fontId="0" type="noConversion"/>
  <printOptions horizontalCentered="1"/>
  <pageMargins left="0.25" right="0.25" top="0.5" bottom="0.5" header="0" footer="0"/>
  <pageSetup scale="72" fitToHeight="0" orientation="landscape" cellComments="atEnd" r:id="rId1"/>
  <headerFooter alignWithMargins="0">
    <oddHeader>&amp;L&amp;"Arial,Bold"&amp;12U.S. Forest Service, Alaska Region, Remaining Timber Sales Volumes and Values As of September 30, 2010</oddHeader>
    <oddFooter>&amp;C&amp;12Page &amp;P of &amp;N</oddFooter>
  </headerFooter>
  <rowBreaks count="3" manualBreakCount="3">
    <brk id="95" max="16383" man="1"/>
    <brk id="108" max="16383" man="1"/>
    <brk id="1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Forest Service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kjhall</cp:lastModifiedBy>
  <cp:lastPrinted>2010-10-18T23:14:55Z</cp:lastPrinted>
  <dcterms:created xsi:type="dcterms:W3CDTF">2000-01-21T21:34:04Z</dcterms:created>
  <dcterms:modified xsi:type="dcterms:W3CDTF">2011-06-06T17:06:49Z</dcterms:modified>
</cp:coreProperties>
</file>