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hillipblundell\Box\IPNF FLT\Public_Affairs\Internal_Business\RAC\2020\Project Applications\2020 RAC Applications\"/>
    </mc:Choice>
  </mc:AlternateContent>
  <xr:revisionPtr revIDLastSave="0" documentId="13_ncr:1_{74D71FB2-7AA6-4D84-8F8A-9786C3B0CAE7}" xr6:coauthVersionLast="45" xr6:coauthVersionMax="45" xr10:uidLastSave="{00000000-0000-0000-0000-000000000000}"/>
  <bookViews>
    <workbookView xWindow="780" yWindow="780" windowWidth="21600" windowHeight="11505" xr2:uid="{00000000-000D-0000-FFFF-FFFF00000000}"/>
  </bookViews>
  <sheets>
    <sheet name="Sheet1" sheetId="1" r:id="rId1"/>
  </sheets>
  <definedNames>
    <definedName name="_xlnm.Print_Area" localSheetId="0">Sheet1!$A$1:$J$34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G33" i="1"/>
  <c r="H32" i="1"/>
  <c r="E40" i="1" l="1"/>
  <c r="N33" i="1" l="1"/>
  <c r="B41" i="1"/>
  <c r="B42" i="1"/>
  <c r="C39" i="1"/>
  <c r="C41" i="1"/>
  <c r="C42" i="1"/>
  <c r="C37" i="1"/>
  <c r="C40" i="1"/>
  <c r="E41" i="1" l="1"/>
  <c r="E37" i="1"/>
  <c r="E38" i="1" s="1"/>
  <c r="J32" i="1" l="1"/>
  <c r="J31" i="1" l="1"/>
  <c r="J30" i="1"/>
  <c r="J29" i="1"/>
  <c r="J28" i="1"/>
  <c r="J27" i="1"/>
  <c r="J26" i="1"/>
  <c r="J25" i="1" l="1"/>
  <c r="J24" i="1"/>
  <c r="J23" i="1" l="1"/>
  <c r="J22" i="1"/>
  <c r="J21" i="1"/>
  <c r="J20" i="1" l="1"/>
  <c r="J19" i="1" l="1"/>
  <c r="J18" i="1"/>
  <c r="J17" i="1"/>
  <c r="J16" i="1"/>
  <c r="J15" i="1" l="1"/>
  <c r="J14" i="1"/>
  <c r="J13" i="1"/>
  <c r="J12" i="1" l="1"/>
  <c r="I33" i="1" l="1"/>
  <c r="E33" i="1"/>
  <c r="J4" i="1"/>
  <c r="J11" i="1"/>
  <c r="J5" i="1"/>
  <c r="J6" i="1"/>
  <c r="J7" i="1"/>
  <c r="J8" i="1"/>
  <c r="J9" i="1"/>
  <c r="J10" i="1"/>
  <c r="J33" i="1" l="1"/>
</calcChain>
</file>

<file path=xl/sharedStrings.xml><?xml version="1.0" encoding="utf-8"?>
<sst xmlns="http://schemas.openxmlformats.org/spreadsheetml/2006/main" count="225" uniqueCount="124">
  <si>
    <t>Proposal No.</t>
  </si>
  <si>
    <t>Proposal Name</t>
  </si>
  <si>
    <t>Proposing Entity</t>
  </si>
  <si>
    <t>Leveraged Dollars</t>
  </si>
  <si>
    <t>Total Project Cost</t>
  </si>
  <si>
    <t>Shoshone County</t>
  </si>
  <si>
    <t>Forest-wide Road Maintenance</t>
  </si>
  <si>
    <t>Gold Hill Overflow Parking</t>
  </si>
  <si>
    <t>Bonner County Parks and Waterways</t>
  </si>
  <si>
    <t>Priest Lake Museum Hazard Tree Removal</t>
  </si>
  <si>
    <t>USFS</t>
  </si>
  <si>
    <t>Forest-wide Youth and Senior Programs</t>
  </si>
  <si>
    <t>Forest-wide Trail Maintenance</t>
  </si>
  <si>
    <t>Forest-wide Recreation Visitor Services</t>
  </si>
  <si>
    <t>FSR 1091 Lunch Peak Road</t>
  </si>
  <si>
    <t>Vault Toilets and Refuse Collection</t>
  </si>
  <si>
    <t>TOTAL</t>
  </si>
  <si>
    <t>Priest Lake Nordic Trails Phase II/III</t>
  </si>
  <si>
    <t>Priest Lake Nordic Club</t>
  </si>
  <si>
    <t>Winter Trail Maintenance in Bonner and Boundary County</t>
  </si>
  <si>
    <t>Bonner County</t>
  </si>
  <si>
    <t>Upper St. Joe Trails</t>
  </si>
  <si>
    <t>Snow Peak Lookout Hazard Mitigation</t>
  </si>
  <si>
    <t>Bernard Peak Trail #37 Reconstruction</t>
  </si>
  <si>
    <t>Noxious Weed Handbooks</t>
  </si>
  <si>
    <t>Priest Lake Log Out</t>
  </si>
  <si>
    <t>Priest River Valley Backcountry Horsemen</t>
  </si>
  <si>
    <t>RAC Title II Funding Requested</t>
  </si>
  <si>
    <t xml:space="preserve">FY20 Idaho Panhandle RAC Proposal Tracking </t>
  </si>
  <si>
    <t>Forest-wide Stand Improvement</t>
  </si>
  <si>
    <t>1503 Road Reconstruction</t>
  </si>
  <si>
    <t>209-23.21 Bridge Repair</t>
  </si>
  <si>
    <t>Central Zone Roadside Vegetation Removal</t>
  </si>
  <si>
    <t>Lake Elsie Roadside Vegetation Removal</t>
  </si>
  <si>
    <t>20-10</t>
  </si>
  <si>
    <t>20-11</t>
  </si>
  <si>
    <t>20-12</t>
  </si>
  <si>
    <t>20-13</t>
  </si>
  <si>
    <t>20-14</t>
  </si>
  <si>
    <t>20-15</t>
  </si>
  <si>
    <t>20-16</t>
  </si>
  <si>
    <t>20-01</t>
  </si>
  <si>
    <t>20-02</t>
  </si>
  <si>
    <t>20-03</t>
  </si>
  <si>
    <t>20-04</t>
  </si>
  <si>
    <t>20-05</t>
  </si>
  <si>
    <t>20-06</t>
  </si>
  <si>
    <t>20-07RW</t>
  </si>
  <si>
    <t>20-08RW</t>
  </si>
  <si>
    <t>20-09</t>
  </si>
  <si>
    <t>20-17RW</t>
  </si>
  <si>
    <t>20-19RW</t>
  </si>
  <si>
    <t>20-20RW</t>
  </si>
  <si>
    <t>Granite Creek Bridges and Reroutes</t>
  </si>
  <si>
    <t>20-22</t>
  </si>
  <si>
    <t>Sam Owen Campground Windstorm Rehabilitation</t>
  </si>
  <si>
    <t>20-23</t>
  </si>
  <si>
    <t>Scotchman Peak Mountain Goat Trail Ambassador Program</t>
  </si>
  <si>
    <t>Friends of Scotchman Peaks Wilderness</t>
  </si>
  <si>
    <t>20-24RW</t>
  </si>
  <si>
    <t>North Zone Road Maintenance and Habitat Restoration</t>
  </si>
  <si>
    <t>20-25</t>
  </si>
  <si>
    <t>North Zone Recreation/Wildlife Forest Protection Officers</t>
  </si>
  <si>
    <t>20-26</t>
  </si>
  <si>
    <t>IPNF Grizzly Bear Infrastructure</t>
  </si>
  <si>
    <t>20-27</t>
  </si>
  <si>
    <t>Native Plant Seeding</t>
  </si>
  <si>
    <t>20-28</t>
  </si>
  <si>
    <t>Conservation Corps for Weed Control</t>
  </si>
  <si>
    <t>RW = Roads &amp; Watersheds Projects</t>
  </si>
  <si>
    <t>20-29</t>
  </si>
  <si>
    <t>Mickinnick Trail Mud Control</t>
  </si>
  <si>
    <t>City of Sandpoint</t>
  </si>
  <si>
    <t>Fund (Y/N)</t>
  </si>
  <si>
    <t>Total Available Funds</t>
  </si>
  <si>
    <t>Amount Obligated</t>
  </si>
  <si>
    <t>Total Remaing Funds</t>
  </si>
  <si>
    <t>Total RW Obligated</t>
  </si>
  <si>
    <t>County</t>
  </si>
  <si>
    <t>Shoshone</t>
  </si>
  <si>
    <t>Bonner</t>
  </si>
  <si>
    <t>All</t>
  </si>
  <si>
    <t>Bonner and Boundary</t>
  </si>
  <si>
    <t>Percent of Total (50% min)</t>
  </si>
  <si>
    <t>Kootenai</t>
  </si>
  <si>
    <t>FY19 County Contributions</t>
  </si>
  <si>
    <t>Boundary</t>
  </si>
  <si>
    <t xml:space="preserve">Kootenai </t>
  </si>
  <si>
    <t>B&amp;B</t>
  </si>
  <si>
    <t>Last Year Funded</t>
  </si>
  <si>
    <t>N/A</t>
  </si>
  <si>
    <t>Recommended Funding Amount</t>
  </si>
  <si>
    <t xml:space="preserve">Amount Last Funded </t>
  </si>
  <si>
    <t>FY20 Allocations by County</t>
  </si>
  <si>
    <t>FY19</t>
  </si>
  <si>
    <t>Comments</t>
  </si>
  <si>
    <t>FY06</t>
  </si>
  <si>
    <t>FY16</t>
  </si>
  <si>
    <t>FY03</t>
  </si>
  <si>
    <t>Yes</t>
  </si>
  <si>
    <t>20-18RW</t>
  </si>
  <si>
    <t>20-21RW</t>
  </si>
  <si>
    <t>No</t>
  </si>
  <si>
    <t>FS will prioritize this project and investigate other funding sources</t>
  </si>
  <si>
    <t>$5,776 min</t>
  </si>
  <si>
    <t>$15K for one year (2020-2021 season)_</t>
  </si>
  <si>
    <t>$3,200 for one year</t>
  </si>
  <si>
    <t>$6,600 for one year</t>
  </si>
  <si>
    <t>Withdrawn by Proponent</t>
  </si>
  <si>
    <t>$7K for Bear Boxes only</t>
  </si>
  <si>
    <t>$5K</t>
  </si>
  <si>
    <t>Other sources of funding may be available</t>
  </si>
  <si>
    <t>$20K would cover 2wks this coming season</t>
  </si>
  <si>
    <t>Covers the remaining FS Recreation Projects (-05,06,11,12,13,25)</t>
  </si>
  <si>
    <t>Project was for equipment which is not allowed under RAC</t>
  </si>
  <si>
    <t>Covered under 20-05</t>
  </si>
  <si>
    <t>Stipulate funding other proposed RW projects from this (20-08, -17 thru -21)</t>
  </si>
  <si>
    <t>Funding source</t>
  </si>
  <si>
    <t>rac</t>
  </si>
  <si>
    <t>cwf2 funding</t>
  </si>
  <si>
    <t>RAC funding amount</t>
  </si>
  <si>
    <t xml:space="preserve"> </t>
  </si>
  <si>
    <t>cwf2</t>
  </si>
  <si>
    <t>cwf2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</si>
</sst>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Fill="1"/>
    <xf numFmtId="0" fontId="4" fillId="0" borderId="0" xfId="0" applyFont="1"/>
    <xf numFmtId="0" fontId="0" fillId="0" borderId="0" xfId="0" applyFont="1" applyFill="1"/>
    <xf numFmtId="164" fontId="0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2" borderId="0" xfId="0" applyFont="1" applyFill="1" applyAlignment="1">
      <alignment horizontal="left" indent="1"/>
    </xf>
    <xf numFmtId="0" fontId="5" fillId="0" borderId="0" xfId="0" applyFont="1" applyAlignment="1">
      <alignment horizontal="left" wrapText="1" indent="1"/>
    </xf>
    <xf numFmtId="0" fontId="5" fillId="0" borderId="0" xfId="0" applyFont="1"/>
    <xf numFmtId="0" fontId="0" fillId="2" borderId="0" xfId="0" applyFont="1" applyFill="1"/>
    <xf numFmtId="8" fontId="7" fillId="0" borderId="0" xfId="0" applyNumberFormat="1" applyFont="1"/>
    <xf numFmtId="8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9" fillId="0" borderId="0" xfId="1" applyNumberFormat="1" applyFont="1" applyAlignment="1">
      <alignment horizontal="left" indent="1"/>
    </xf>
    <xf numFmtId="0" fontId="7" fillId="2" borderId="0" xfId="0" applyFont="1" applyFill="1" applyAlignment="1">
      <alignment horizontal="left" indent="1"/>
    </xf>
    <xf numFmtId="8" fontId="7" fillId="2" borderId="0" xfId="0" applyNumberFormat="1" applyFont="1" applyFill="1"/>
    <xf numFmtId="9" fontId="7" fillId="2" borderId="0" xfId="0" applyNumberFormat="1" applyFont="1" applyFill="1"/>
    <xf numFmtId="0" fontId="13" fillId="0" borderId="0" xfId="0" applyFont="1"/>
    <xf numFmtId="0" fontId="7" fillId="0" borderId="0" xfId="0" applyFont="1" applyAlignment="1">
      <alignment horizontal="right" indent="1"/>
    </xf>
    <xf numFmtId="164" fontId="15" fillId="0" borderId="0" xfId="0" applyNumberFormat="1" applyFo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8" fontId="8" fillId="0" borderId="0" xfId="0" applyNumberFormat="1" applyFont="1"/>
    <xf numFmtId="164" fontId="12" fillId="0" borderId="0" xfId="0" applyNumberFormat="1" applyFont="1" applyAlignment="1">
      <alignment horizontal="right" indent="1"/>
    </xf>
    <xf numFmtId="164" fontId="12" fillId="2" borderId="0" xfId="0" applyNumberFormat="1" applyFont="1" applyFill="1" applyAlignment="1">
      <alignment horizontal="right" indent="1"/>
    </xf>
    <xf numFmtId="164" fontId="12" fillId="0" borderId="0" xfId="0" applyNumberFormat="1" applyFont="1" applyFill="1" applyAlignment="1">
      <alignment horizontal="right" indent="1"/>
    </xf>
    <xf numFmtId="164" fontId="14" fillId="0" borderId="0" xfId="0" applyNumberFormat="1" applyFont="1" applyAlignment="1">
      <alignment horizontal="right" indent="1"/>
    </xf>
    <xf numFmtId="8" fontId="16" fillId="3" borderId="0" xfId="0" applyNumberFormat="1" applyFont="1" applyFill="1"/>
    <xf numFmtId="164" fontId="17" fillId="0" borderId="0" xfId="0" applyNumberFormat="1" applyFont="1"/>
    <xf numFmtId="0" fontId="7" fillId="4" borderId="9" xfId="0" applyFont="1" applyFill="1" applyBorder="1"/>
    <xf numFmtId="0" fontId="7" fillId="4" borderId="5" xfId="0" applyFont="1" applyFill="1" applyBorder="1" applyAlignment="1">
      <alignment horizontal="right" indent="1"/>
    </xf>
    <xf numFmtId="0" fontId="7" fillId="4" borderId="6" xfId="0" applyFont="1" applyFill="1" applyBorder="1" applyAlignment="1">
      <alignment horizontal="right" indent="1"/>
    </xf>
    <xf numFmtId="0" fontId="0" fillId="4" borderId="7" xfId="0" applyFill="1" applyBorder="1"/>
    <xf numFmtId="164" fontId="0" fillId="4" borderId="0" xfId="0" applyNumberFormat="1" applyFill="1" applyAlignment="1">
      <alignment horizontal="right" indent="1"/>
    </xf>
    <xf numFmtId="164" fontId="0" fillId="4" borderId="3" xfId="0" applyNumberFormat="1" applyFill="1" applyBorder="1" applyAlignment="1">
      <alignment horizontal="right" indent="1"/>
    </xf>
    <xf numFmtId="164" fontId="0" fillId="4" borderId="0" xfId="0" applyNumberFormat="1" applyFont="1" applyFill="1" applyAlignment="1">
      <alignment horizontal="right" indent="1"/>
    </xf>
    <xf numFmtId="164" fontId="0" fillId="4" borderId="3" xfId="0" applyNumberFormat="1" applyFont="1" applyFill="1" applyBorder="1" applyAlignment="1">
      <alignment horizontal="right" indent="1"/>
    </xf>
    <xf numFmtId="0" fontId="0" fillId="4" borderId="8" xfId="0" applyFill="1" applyBorder="1"/>
    <xf numFmtId="164" fontId="0" fillId="4" borderId="2" xfId="0" applyNumberFormat="1" applyFont="1" applyFill="1" applyBorder="1" applyAlignment="1">
      <alignment horizontal="right" indent="1"/>
    </xf>
    <xf numFmtId="164" fontId="0" fillId="4" borderId="4" xfId="0" applyNumberFormat="1" applyFont="1" applyFill="1" applyBorder="1" applyAlignment="1">
      <alignment horizontal="right" indent="1"/>
    </xf>
    <xf numFmtId="164" fontId="11" fillId="4" borderId="0" xfId="0" applyNumberFormat="1" applyFont="1" applyFill="1" applyAlignment="1">
      <alignment horizontal="right" indent="1"/>
    </xf>
    <xf numFmtId="164" fontId="11" fillId="4" borderId="2" xfId="0" applyNumberFormat="1" applyFont="1" applyFill="1" applyBorder="1" applyAlignment="1">
      <alignment horizontal="right" indent="1"/>
    </xf>
    <xf numFmtId="164" fontId="0" fillId="4" borderId="4" xfId="0" applyNumberFormat="1" applyFill="1" applyBorder="1" applyAlignment="1">
      <alignment horizontal="right" indent="1"/>
    </xf>
    <xf numFmtId="0" fontId="0" fillId="3" borderId="0" xfId="0" applyFill="1" applyAlignment="1">
      <alignment horizontal="left" indent="1"/>
    </xf>
    <xf numFmtId="0" fontId="0" fillId="3" borderId="0" xfId="0" applyFill="1"/>
    <xf numFmtId="0" fontId="9" fillId="3" borderId="0" xfId="1" applyNumberFormat="1" applyFont="1" applyFill="1" applyAlignment="1">
      <alignment horizontal="left" indent="1"/>
    </xf>
    <xf numFmtId="164" fontId="17" fillId="3" borderId="0" xfId="0" applyNumberFormat="1" applyFont="1" applyFill="1"/>
    <xf numFmtId="164" fontId="0" fillId="3" borderId="0" xfId="0" applyNumberFormat="1" applyFill="1"/>
    <xf numFmtId="0" fontId="8" fillId="3" borderId="0" xfId="0" applyFont="1" applyFill="1" applyAlignment="1">
      <alignment horizontal="center"/>
    </xf>
    <xf numFmtId="8" fontId="8" fillId="3" borderId="0" xfId="0" applyNumberFormat="1" applyFont="1" applyFill="1"/>
    <xf numFmtId="0" fontId="10" fillId="3" borderId="0" xfId="0" applyFont="1" applyFill="1" applyAlignment="1">
      <alignment horizontal="center"/>
    </xf>
    <xf numFmtId="164" fontId="12" fillId="3" borderId="0" xfId="0" applyNumberFormat="1" applyFont="1" applyFill="1" applyAlignment="1">
      <alignment horizontal="right" indent="1"/>
    </xf>
    <xf numFmtId="0" fontId="0" fillId="3" borderId="0" xfId="0" applyFont="1" applyFill="1" applyAlignment="1">
      <alignment horizontal="left" indent="1"/>
    </xf>
    <xf numFmtId="0" fontId="0" fillId="3" borderId="0" xfId="0" applyFont="1" applyFill="1"/>
    <xf numFmtId="164" fontId="0" fillId="3" borderId="0" xfId="0" applyNumberFormat="1" applyFont="1" applyFill="1"/>
    <xf numFmtId="0" fontId="0" fillId="3" borderId="0" xfId="0" applyFont="1" applyFill="1" applyBorder="1" applyAlignment="1">
      <alignment horizontal="left" indent="1"/>
    </xf>
    <xf numFmtId="0" fontId="0" fillId="3" borderId="0" xfId="0" applyFont="1" applyFill="1" applyBorder="1"/>
    <xf numFmtId="0" fontId="9" fillId="3" borderId="0" xfId="1" applyNumberFormat="1" applyFont="1" applyFill="1" applyBorder="1" applyAlignment="1">
      <alignment horizontal="left" indent="1"/>
    </xf>
    <xf numFmtId="164" fontId="17" fillId="3" borderId="0" xfId="0" applyNumberFormat="1" applyFont="1" applyFill="1" applyBorder="1"/>
    <xf numFmtId="164" fontId="0" fillId="3" borderId="0" xfId="0" applyNumberFormat="1" applyFont="1" applyFill="1" applyBorder="1"/>
    <xf numFmtId="0" fontId="0" fillId="5" borderId="0" xfId="0" applyFill="1" applyAlignment="1">
      <alignment horizontal="left" indent="1"/>
    </xf>
    <xf numFmtId="0" fontId="0" fillId="5" borderId="0" xfId="0" applyFill="1"/>
    <xf numFmtId="0" fontId="9" fillId="5" borderId="0" xfId="1" applyNumberFormat="1" applyFont="1" applyFill="1" applyAlignment="1">
      <alignment horizontal="left" indent="1"/>
    </xf>
    <xf numFmtId="164" fontId="17" fillId="5" borderId="0" xfId="0" applyNumberFormat="1" applyFont="1" applyFill="1"/>
    <xf numFmtId="164" fontId="0" fillId="5" borderId="0" xfId="0" applyNumberFormat="1" applyFill="1"/>
    <xf numFmtId="0" fontId="8" fillId="5" borderId="0" xfId="0" applyFont="1" applyFill="1" applyAlignment="1">
      <alignment horizontal="center"/>
    </xf>
    <xf numFmtId="8" fontId="8" fillId="5" borderId="0" xfId="0" applyNumberFormat="1" applyFont="1" applyFill="1"/>
    <xf numFmtId="0" fontId="10" fillId="5" borderId="0" xfId="0" applyFont="1" applyFill="1" applyAlignment="1">
      <alignment horizontal="center"/>
    </xf>
    <xf numFmtId="164" fontId="12" fillId="5" borderId="0" xfId="0" applyNumberFormat="1" applyFont="1" applyFill="1" applyAlignment="1">
      <alignment horizontal="right" indent="1"/>
    </xf>
    <xf numFmtId="0" fontId="0" fillId="5" borderId="0" xfId="0" applyFont="1" applyFill="1" applyAlignment="1">
      <alignment horizontal="left" indent="1"/>
    </xf>
    <xf numFmtId="0" fontId="0" fillId="5" borderId="0" xfId="0" applyFont="1" applyFill="1"/>
    <xf numFmtId="164" fontId="0" fillId="5" borderId="0" xfId="0" applyNumberFormat="1" applyFont="1" applyFill="1"/>
    <xf numFmtId="8" fontId="7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164" fontId="17" fillId="0" borderId="0" xfId="0" applyNumberFormat="1" applyFont="1" applyAlignment="1">
      <alignment horizontal="center"/>
    </xf>
    <xf numFmtId="164" fontId="17" fillId="5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164" fontId="17" fillId="3" borderId="0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center"/>
    </xf>
    <xf numFmtId="8" fontId="7" fillId="0" borderId="0" xfId="0" applyNumberFormat="1" applyFont="1" applyBorder="1" applyAlignment="1">
      <alignment horizontal="center"/>
    </xf>
    <xf numFmtId="8" fontId="16" fillId="3" borderId="0" xfId="0" applyNumberFormat="1" applyFont="1" applyFill="1" applyAlignment="1">
      <alignment horizontal="center"/>
    </xf>
    <xf numFmtId="8" fontId="7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0" fontId="2" fillId="0" borderId="0" xfId="0" applyFont="1"/>
  </cellXfs>
  <cellStyles count="2">
    <cellStyle name="Hyperlink" xfId="1" builtinId="8"/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Calibri"/>
        <family val="2"/>
        <scheme val="minor"/>
      </font>
      <numFmt numFmtId="164" formatCode="&quot;$&quot;#,##0.00"/>
      <alignment horizontal="right" vertical="bottom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70C0"/>
        <name val="Calibri"/>
        <family val="2"/>
        <scheme val="minor"/>
      </font>
      <numFmt numFmtId="164" formatCode="&quot;$&quot;#,##0.0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numFmt numFmtId="164" formatCode="&quot;$&quot;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  <numFmt numFmtId="164" formatCode="&quot;$&quot;#,##0.00"/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numFmt numFmtId="164" formatCode="&quot;$&quot;#,##0.00"/>
    </dxf>
    <dxf>
      <font>
        <b/>
        <strike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left" vertical="bottom" textRotation="0" wrapText="0" relativeIndent="1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bottom" textRotation="0" wrapText="1" relativeIndent="1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O33" totalsRowCount="1" headerRowDxfId="30" totalsRowDxfId="29">
  <autoFilter ref="A3:O32" xr:uid="{00000000-0009-0000-0100-000001000000}"/>
  <sortState xmlns:xlrd2="http://schemas.microsoft.com/office/spreadsheetml/2017/richdata2" ref="A4:N32">
    <sortCondition ref="A3:A32"/>
  </sortState>
  <tableColumns count="15">
    <tableColumn id="1" xr3:uid="{00000000-0010-0000-0000-000001000000}" name="Proposal No." dataDxfId="28" totalsRowDxfId="27"/>
    <tableColumn id="2" xr3:uid="{00000000-0010-0000-0000-000002000000}" name="Proposal Name" dataDxfId="26" totalsRowDxfId="25"/>
    <tableColumn id="3" xr3:uid="{00000000-0010-0000-0000-000003000000}" name="Proposing Entity" dataDxfId="24" totalsRowDxfId="23"/>
    <tableColumn id="8" xr3:uid="{00000000-0010-0000-0000-000008000000}" name="County" totalsRowLabel="TOTAL" dataDxfId="22" totalsRowDxfId="21"/>
    <tableColumn id="4" xr3:uid="{00000000-0010-0000-0000-000004000000}" name="RAC Title II Funding Requested" totalsRowFunction="custom" dataDxfId="20" totalsRowDxfId="19">
      <totalsRowFormula>SUM(Table1[RAC Title II Funding Requested])</totalsRowFormula>
    </tableColumn>
    <tableColumn id="13" xr3:uid="{5BE88D01-5CC8-4D44-8E9D-7E709F797EFB}" name="Funding source" dataDxfId="18" totalsRowDxfId="17"/>
    <tableColumn id="14" xr3:uid="{D00199BF-FC5D-4A3D-A94D-4DFF6A2794E8}" name="cwf2 funding" totalsRowFunction="custom" dataDxfId="16" totalsRowDxfId="15">
      <totalsRowFormula>SUM(G4:G32)</totalsRowFormula>
    </tableColumn>
    <tableColumn id="15" xr3:uid="{06DA337A-8DFD-486B-997C-3DB6DD09E2EB}" name="RAC funding amount" totalsRowFunction="custom" dataDxfId="14" totalsRowDxfId="13">
      <totalsRowFormula>SUM(H32)</totalsRowFormula>
    </tableColumn>
    <tableColumn id="5" xr3:uid="{00000000-0010-0000-0000-000005000000}" name="Leveraged Dollars" totalsRowFunction="sum" dataDxfId="12" totalsRowDxfId="11"/>
    <tableColumn id="6" xr3:uid="{00000000-0010-0000-0000-000006000000}" name="Total Project Cost" totalsRowFunction="sum" dataDxfId="10" totalsRowDxfId="9">
      <calculatedColumnFormula>SUM(Table1[[#This Row],[RAC Title II Funding Requested]:[Leveraged Dollars]])</calculatedColumnFormula>
    </tableColumn>
    <tableColumn id="10" xr3:uid="{928AC3DF-114C-4FFA-8AA0-306E667B27E1}" name="Last Year Funded" dataDxfId="8" totalsRowDxfId="7"/>
    <tableColumn id="11" xr3:uid="{6114F273-1A19-446F-A64B-2478BADF1D42}" name="Amount Last Funded " dataDxfId="6" totalsRowDxfId="5"/>
    <tableColumn id="7" xr3:uid="{947AF274-E2CA-4E9F-82DD-AF2BF966C9A1}" name="Fund (Y/N)" dataDxfId="4" totalsRowDxfId="3"/>
    <tableColumn id="9" xr3:uid="{860DE941-5F73-4ECF-A5C5-317BA29D1BE1}" name="Recommended Funding Amount" totalsRowFunction="custom" dataDxfId="2" totalsRowDxfId="1">
      <totalsRowFormula>SUM(Table1[Recommended Funding Amount])</totalsRowFormula>
    </tableColumn>
    <tableColumn id="12" xr3:uid="{FDFC9DBB-01CD-41DC-9A15-126776D9F0B9}" name="Comments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defaultRowHeight="15" x14ac:dyDescent="0.25"/>
  <cols>
    <col min="1" max="1" width="11.140625" customWidth="1"/>
    <col min="2" max="2" width="52.140625" customWidth="1"/>
    <col min="3" max="3" width="39.42578125" customWidth="1"/>
    <col min="4" max="4" width="29.5703125" customWidth="1"/>
    <col min="5" max="5" width="17" customWidth="1"/>
    <col min="6" max="6" width="17" style="81" customWidth="1"/>
    <col min="7" max="8" width="17" customWidth="1"/>
    <col min="9" max="9" width="20.85546875" customWidth="1"/>
    <col min="10" max="10" width="13.140625" customWidth="1"/>
    <col min="11" max="11" width="10.42578125" customWidth="1"/>
    <col min="12" max="12" width="17" customWidth="1"/>
    <col min="13" max="13" width="9.85546875" customWidth="1"/>
    <col min="14" max="14" width="17" customWidth="1"/>
    <col min="15" max="15" width="69.140625" customWidth="1"/>
  </cols>
  <sheetData>
    <row r="1" spans="1:15" ht="15.75" x14ac:dyDescent="0.25">
      <c r="A1" s="93" t="s">
        <v>28</v>
      </c>
      <c r="B1" s="93"/>
    </row>
    <row r="3" spans="1:15" s="14" customFormat="1" ht="45" customHeight="1" x14ac:dyDescent="0.25">
      <c r="A3" s="13" t="s">
        <v>0</v>
      </c>
      <c r="B3" s="13" t="s">
        <v>1</v>
      </c>
      <c r="C3" s="13" t="s">
        <v>2</v>
      </c>
      <c r="D3" s="13" t="s">
        <v>78</v>
      </c>
      <c r="E3" s="13" t="s">
        <v>27</v>
      </c>
      <c r="F3" s="82" t="s">
        <v>117</v>
      </c>
      <c r="G3" s="13" t="s">
        <v>119</v>
      </c>
      <c r="H3" s="13" t="s">
        <v>120</v>
      </c>
      <c r="I3" s="13" t="s">
        <v>3</v>
      </c>
      <c r="J3" s="13" t="s">
        <v>4</v>
      </c>
      <c r="K3" s="13" t="s">
        <v>89</v>
      </c>
      <c r="L3" s="13" t="s">
        <v>92</v>
      </c>
      <c r="M3" s="13" t="s">
        <v>73</v>
      </c>
      <c r="N3" s="13" t="s">
        <v>91</v>
      </c>
      <c r="O3" s="13" t="s">
        <v>95</v>
      </c>
    </row>
    <row r="4" spans="1:15" ht="15.75" x14ac:dyDescent="0.25">
      <c r="A4" s="10" t="s">
        <v>41</v>
      </c>
      <c r="B4" s="6" t="s">
        <v>15</v>
      </c>
      <c r="C4" s="10" t="s">
        <v>5</v>
      </c>
      <c r="D4" s="20" t="s">
        <v>79</v>
      </c>
      <c r="E4" s="36">
        <v>16493.830000000002</v>
      </c>
      <c r="F4" s="83"/>
      <c r="G4" s="36"/>
      <c r="H4" s="36"/>
      <c r="I4" s="1">
        <v>0</v>
      </c>
      <c r="J4" s="1">
        <f>SUM(Table1[[#This Row],[RAC Title II Funding Requested]:[Leveraged Dollars]])</f>
        <v>16493.830000000002</v>
      </c>
      <c r="K4" s="29" t="s">
        <v>94</v>
      </c>
      <c r="L4" s="30">
        <v>35000</v>
      </c>
      <c r="M4" s="27" t="s">
        <v>99</v>
      </c>
      <c r="N4" s="31">
        <v>16493.830000000002</v>
      </c>
      <c r="O4" s="6"/>
    </row>
    <row r="5" spans="1:15" ht="15.75" x14ac:dyDescent="0.25">
      <c r="A5" s="10" t="s">
        <v>42</v>
      </c>
      <c r="B5" s="6" t="s">
        <v>7</v>
      </c>
      <c r="C5" s="10" t="s">
        <v>8</v>
      </c>
      <c r="D5" s="20" t="s">
        <v>80</v>
      </c>
      <c r="E5" s="36">
        <v>31752</v>
      </c>
      <c r="F5" s="83"/>
      <c r="G5" s="36"/>
      <c r="H5" s="36"/>
      <c r="I5" s="1">
        <v>4000</v>
      </c>
      <c r="J5" s="1">
        <f>SUM(Table1[[#This Row],[RAC Title II Funding Requested]:[Leveraged Dollars]])</f>
        <v>35752</v>
      </c>
      <c r="K5" s="29"/>
      <c r="L5" s="30"/>
      <c r="M5" s="27" t="s">
        <v>99</v>
      </c>
      <c r="N5" s="31">
        <v>31752</v>
      </c>
    </row>
    <row r="6" spans="1:15" ht="15.75" x14ac:dyDescent="0.25">
      <c r="A6" s="10" t="s">
        <v>43</v>
      </c>
      <c r="B6" s="6" t="s">
        <v>9</v>
      </c>
      <c r="C6" s="10" t="s">
        <v>10</v>
      </c>
      <c r="D6" s="20" t="s">
        <v>80</v>
      </c>
      <c r="E6" s="36">
        <v>12000</v>
      </c>
      <c r="F6" s="83"/>
      <c r="G6" s="36"/>
      <c r="H6" s="36"/>
      <c r="I6" s="1">
        <v>0</v>
      </c>
      <c r="J6" s="1">
        <f>SUM(Table1[[#This Row],[RAC Title II Funding Requested]:[Leveraged Dollars]])</f>
        <v>12000</v>
      </c>
      <c r="K6" s="29"/>
      <c r="L6" s="30"/>
      <c r="M6" s="27" t="s">
        <v>99</v>
      </c>
      <c r="N6" s="31">
        <v>12000</v>
      </c>
    </row>
    <row r="7" spans="1:15" ht="15.75" x14ac:dyDescent="0.25">
      <c r="A7" s="10" t="s">
        <v>44</v>
      </c>
      <c r="B7" s="6" t="s">
        <v>11</v>
      </c>
      <c r="C7" s="10" t="s">
        <v>10</v>
      </c>
      <c r="D7" s="20" t="s">
        <v>81</v>
      </c>
      <c r="E7" s="36">
        <v>92500</v>
      </c>
      <c r="F7" s="83"/>
      <c r="G7" s="36"/>
      <c r="H7" s="36"/>
      <c r="I7" s="1">
        <v>90000</v>
      </c>
      <c r="J7" s="1">
        <f>SUM(Table1[[#This Row],[RAC Title II Funding Requested]:[Leveraged Dollars]])</f>
        <v>182500</v>
      </c>
      <c r="K7" s="29" t="s">
        <v>94</v>
      </c>
      <c r="L7" s="30">
        <v>124000</v>
      </c>
      <c r="M7" s="27" t="s">
        <v>99</v>
      </c>
      <c r="N7" s="31">
        <v>75000</v>
      </c>
      <c r="O7" s="6"/>
    </row>
    <row r="8" spans="1:15" s="69" customFormat="1" ht="15.75" x14ac:dyDescent="0.25">
      <c r="A8" s="68" t="s">
        <v>45</v>
      </c>
      <c r="B8" s="69" t="s">
        <v>12</v>
      </c>
      <c r="C8" s="68" t="s">
        <v>10</v>
      </c>
      <c r="D8" s="70" t="s">
        <v>81</v>
      </c>
      <c r="E8" s="71">
        <v>188500</v>
      </c>
      <c r="F8" s="84"/>
      <c r="G8" s="71"/>
      <c r="H8" s="71"/>
      <c r="I8" s="72">
        <v>727500</v>
      </c>
      <c r="J8" s="72">
        <f>SUM(Table1[[#This Row],[RAC Title II Funding Requested]:[Leveraged Dollars]])</f>
        <v>916000</v>
      </c>
      <c r="K8" s="73" t="s">
        <v>94</v>
      </c>
      <c r="L8" s="74">
        <v>185488.86</v>
      </c>
      <c r="M8" s="75" t="s">
        <v>99</v>
      </c>
      <c r="N8" s="76">
        <v>51527.29</v>
      </c>
      <c r="O8" s="69" t="s">
        <v>113</v>
      </c>
    </row>
    <row r="9" spans="1:15" s="69" customFormat="1" ht="15.75" x14ac:dyDescent="0.25">
      <c r="A9" s="68" t="s">
        <v>46</v>
      </c>
      <c r="B9" s="69" t="s">
        <v>13</v>
      </c>
      <c r="C9" s="68" t="s">
        <v>10</v>
      </c>
      <c r="D9" s="70" t="s">
        <v>81</v>
      </c>
      <c r="E9" s="71">
        <v>159500</v>
      </c>
      <c r="F9" s="84"/>
      <c r="G9" s="71"/>
      <c r="H9" s="71"/>
      <c r="I9" s="72">
        <v>378500</v>
      </c>
      <c r="J9" s="72">
        <f>SUM(Table1[[#This Row],[RAC Title II Funding Requested]:[Leveraged Dollars]])</f>
        <v>538000</v>
      </c>
      <c r="K9" s="73" t="s">
        <v>94</v>
      </c>
      <c r="L9" s="74">
        <v>126800</v>
      </c>
      <c r="M9" s="75" t="s">
        <v>99</v>
      </c>
      <c r="N9" s="76">
        <v>0</v>
      </c>
      <c r="O9" s="69" t="s">
        <v>115</v>
      </c>
    </row>
    <row r="10" spans="1:15" s="52" customFormat="1" ht="15.75" x14ac:dyDescent="0.25">
      <c r="A10" s="51" t="s">
        <v>47</v>
      </c>
      <c r="B10" s="52" t="s">
        <v>6</v>
      </c>
      <c r="C10" s="51" t="s">
        <v>10</v>
      </c>
      <c r="D10" s="53" t="s">
        <v>81</v>
      </c>
      <c r="E10" s="54">
        <v>205000</v>
      </c>
      <c r="F10" s="85" t="s">
        <v>118</v>
      </c>
      <c r="G10" s="54" t="s">
        <v>121</v>
      </c>
      <c r="H10" s="54">
        <v>165000</v>
      </c>
      <c r="I10" s="55">
        <v>415800</v>
      </c>
      <c r="J10" s="55">
        <f>SUM(Table1[[#This Row],[RAC Title II Funding Requested]:[Leveraged Dollars]])</f>
        <v>785800</v>
      </c>
      <c r="K10" s="56" t="s">
        <v>94</v>
      </c>
      <c r="L10" s="57">
        <v>133000</v>
      </c>
      <c r="M10" s="58" t="s">
        <v>99</v>
      </c>
      <c r="N10" s="59">
        <v>265000</v>
      </c>
      <c r="O10" s="52" t="s">
        <v>116</v>
      </c>
    </row>
    <row r="11" spans="1:15" s="61" customFormat="1" ht="15.75" x14ac:dyDescent="0.25">
      <c r="A11" s="63" t="s">
        <v>48</v>
      </c>
      <c r="B11" s="64" t="s">
        <v>14</v>
      </c>
      <c r="C11" s="63" t="s">
        <v>10</v>
      </c>
      <c r="D11" s="65" t="s">
        <v>80</v>
      </c>
      <c r="E11" s="66">
        <v>82485</v>
      </c>
      <c r="F11" s="86" t="s">
        <v>118</v>
      </c>
      <c r="G11" s="66"/>
      <c r="H11" s="66">
        <v>82750</v>
      </c>
      <c r="I11" s="67">
        <v>107900</v>
      </c>
      <c r="J11" s="67">
        <f>SUM(Table1[[#This Row],[RAC Title II Funding Requested]:[Leveraged Dollars]])</f>
        <v>273135</v>
      </c>
      <c r="K11" s="56" t="s">
        <v>94</v>
      </c>
      <c r="L11" s="57">
        <v>81750</v>
      </c>
      <c r="M11" s="58" t="s">
        <v>99</v>
      </c>
      <c r="N11" s="59">
        <v>0</v>
      </c>
      <c r="O11" s="61" t="s">
        <v>103</v>
      </c>
    </row>
    <row r="12" spans="1:15" s="3" customFormat="1" ht="15.75" x14ac:dyDescent="0.25">
      <c r="A12" s="10" t="s">
        <v>49</v>
      </c>
      <c r="B12" s="6" t="s">
        <v>17</v>
      </c>
      <c r="C12" s="10" t="s">
        <v>18</v>
      </c>
      <c r="D12" s="20" t="s">
        <v>80</v>
      </c>
      <c r="E12" s="36">
        <v>33944</v>
      </c>
      <c r="F12" s="83"/>
      <c r="G12" s="36"/>
      <c r="H12" s="36"/>
      <c r="I12" s="1">
        <v>18854</v>
      </c>
      <c r="J12" s="1">
        <f>SUM(Table1[[#This Row],[RAC Title II Funding Requested]:[Leveraged Dollars]])</f>
        <v>52798</v>
      </c>
      <c r="K12" s="29" t="s">
        <v>94</v>
      </c>
      <c r="L12" s="30">
        <v>13025</v>
      </c>
      <c r="M12" s="27" t="s">
        <v>99</v>
      </c>
      <c r="N12" s="31">
        <v>5776</v>
      </c>
      <c r="O12" s="2" t="s">
        <v>104</v>
      </c>
    </row>
    <row r="13" spans="1:15" ht="15.75" x14ac:dyDescent="0.25">
      <c r="A13" s="10" t="s">
        <v>34</v>
      </c>
      <c r="B13" s="6" t="s">
        <v>19</v>
      </c>
      <c r="C13" s="10" t="s">
        <v>20</v>
      </c>
      <c r="D13" s="20" t="s">
        <v>82</v>
      </c>
      <c r="E13" s="36">
        <v>50000</v>
      </c>
      <c r="F13" s="83"/>
      <c r="G13" s="36"/>
      <c r="H13" s="36"/>
      <c r="I13" s="1">
        <v>126684.24</v>
      </c>
      <c r="J13" s="1">
        <f>SUM(Table1[[#This Row],[RAC Title II Funding Requested]:[Leveraged Dollars]])</f>
        <v>176684.24</v>
      </c>
      <c r="K13" s="29"/>
      <c r="L13" s="30"/>
      <c r="M13" s="27" t="s">
        <v>99</v>
      </c>
      <c r="N13" s="31">
        <v>15000</v>
      </c>
      <c r="O13" t="s">
        <v>105</v>
      </c>
    </row>
    <row r="14" spans="1:15" s="69" customFormat="1" ht="15.75" x14ac:dyDescent="0.25">
      <c r="A14" s="68" t="s">
        <v>35</v>
      </c>
      <c r="B14" s="69" t="s">
        <v>21</v>
      </c>
      <c r="C14" s="68" t="s">
        <v>10</v>
      </c>
      <c r="D14" s="70" t="s">
        <v>79</v>
      </c>
      <c r="E14" s="71">
        <v>70000</v>
      </c>
      <c r="F14" s="84"/>
      <c r="G14" s="71"/>
      <c r="H14" s="71"/>
      <c r="I14" s="72">
        <v>16870</v>
      </c>
      <c r="J14" s="72">
        <f>SUM(Table1[[#This Row],[RAC Title II Funding Requested]:[Leveraged Dollars]])</f>
        <v>86870</v>
      </c>
      <c r="K14" s="73" t="s">
        <v>94</v>
      </c>
      <c r="L14" s="74">
        <v>38200</v>
      </c>
      <c r="M14" s="75" t="s">
        <v>99</v>
      </c>
      <c r="N14" s="76">
        <v>0</v>
      </c>
      <c r="O14" s="69" t="s">
        <v>115</v>
      </c>
    </row>
    <row r="15" spans="1:15" s="69" customFormat="1" ht="15.75" x14ac:dyDescent="0.25">
      <c r="A15" s="68" t="s">
        <v>36</v>
      </c>
      <c r="B15" s="69" t="s">
        <v>22</v>
      </c>
      <c r="C15" s="68" t="s">
        <v>10</v>
      </c>
      <c r="D15" s="70" t="s">
        <v>79</v>
      </c>
      <c r="E15" s="71">
        <v>13600</v>
      </c>
      <c r="F15" s="84"/>
      <c r="G15" s="71"/>
      <c r="H15" s="71"/>
      <c r="I15" s="72">
        <v>5164</v>
      </c>
      <c r="J15" s="72">
        <f>SUM(Table1[[#This Row],[RAC Title II Funding Requested]:[Leveraged Dollars]])</f>
        <v>18764</v>
      </c>
      <c r="K15" s="73"/>
      <c r="L15" s="74"/>
      <c r="M15" s="75" t="s">
        <v>99</v>
      </c>
      <c r="N15" s="76">
        <v>0</v>
      </c>
      <c r="O15" s="69" t="s">
        <v>115</v>
      </c>
    </row>
    <row r="16" spans="1:15" s="69" customFormat="1" ht="15.75" x14ac:dyDescent="0.25">
      <c r="A16" s="68" t="s">
        <v>37</v>
      </c>
      <c r="B16" s="69" t="s">
        <v>23</v>
      </c>
      <c r="C16" s="68" t="s">
        <v>10</v>
      </c>
      <c r="D16" s="70" t="s">
        <v>84</v>
      </c>
      <c r="E16" s="71">
        <v>22000</v>
      </c>
      <c r="F16" s="84"/>
      <c r="G16" s="71"/>
      <c r="H16" s="71"/>
      <c r="I16" s="72">
        <v>12760</v>
      </c>
      <c r="J16" s="72">
        <f>SUM(Table1[[#This Row],[RAC Title II Funding Requested]:[Leveraged Dollars]])</f>
        <v>34760</v>
      </c>
      <c r="K16" s="73"/>
      <c r="L16" s="74"/>
      <c r="M16" s="75" t="s">
        <v>99</v>
      </c>
      <c r="N16" s="76">
        <v>0</v>
      </c>
      <c r="O16" s="69" t="s">
        <v>115</v>
      </c>
    </row>
    <row r="17" spans="1:15" ht="15.75" x14ac:dyDescent="0.25">
      <c r="A17" s="10" t="s">
        <v>38</v>
      </c>
      <c r="B17" s="6" t="s">
        <v>24</v>
      </c>
      <c r="C17" s="10" t="s">
        <v>20</v>
      </c>
      <c r="D17" s="20" t="s">
        <v>82</v>
      </c>
      <c r="E17" s="36">
        <v>9175</v>
      </c>
      <c r="F17" s="83"/>
      <c r="G17" s="36"/>
      <c r="H17" s="36"/>
      <c r="I17" s="1">
        <v>6820</v>
      </c>
      <c r="J17" s="1">
        <f>SUM(Table1[[#This Row],[RAC Title II Funding Requested]:[Leveraged Dollars]])</f>
        <v>15995</v>
      </c>
      <c r="K17" s="29"/>
      <c r="L17" s="30"/>
      <c r="M17" s="27" t="s">
        <v>99</v>
      </c>
      <c r="N17" s="31">
        <v>6000</v>
      </c>
    </row>
    <row r="18" spans="1:15" ht="15.75" x14ac:dyDescent="0.25">
      <c r="A18" s="10" t="s">
        <v>39</v>
      </c>
      <c r="B18" s="6" t="s">
        <v>25</v>
      </c>
      <c r="C18" s="10" t="s">
        <v>26</v>
      </c>
      <c r="D18" s="20" t="s">
        <v>80</v>
      </c>
      <c r="E18" s="36">
        <v>9600</v>
      </c>
      <c r="F18" s="83"/>
      <c r="G18" s="36"/>
      <c r="H18" s="36"/>
      <c r="I18" s="1">
        <v>9846</v>
      </c>
      <c r="J18" s="1">
        <f>SUM(Table1[[#This Row],[RAC Title II Funding Requested]:[Leveraged Dollars]])</f>
        <v>19446</v>
      </c>
      <c r="K18" s="29" t="s">
        <v>94</v>
      </c>
      <c r="L18" s="30">
        <v>3200</v>
      </c>
      <c r="M18" s="27" t="s">
        <v>99</v>
      </c>
      <c r="N18" s="31">
        <v>3200</v>
      </c>
      <c r="O18" t="s">
        <v>106</v>
      </c>
    </row>
    <row r="19" spans="1:15" s="2" customFormat="1" ht="15.75" x14ac:dyDescent="0.25">
      <c r="A19" s="11" t="s">
        <v>40</v>
      </c>
      <c r="B19" s="8" t="s">
        <v>29</v>
      </c>
      <c r="C19" s="11" t="s">
        <v>10</v>
      </c>
      <c r="D19" s="20" t="s">
        <v>81</v>
      </c>
      <c r="E19" s="36">
        <v>332000</v>
      </c>
      <c r="F19" s="83"/>
      <c r="G19" s="36"/>
      <c r="H19" s="36"/>
      <c r="I19" s="9">
        <v>492000</v>
      </c>
      <c r="J19" s="9">
        <f>SUM(Table1[[#This Row],[RAC Title II Funding Requested]:[Leveraged Dollars]])</f>
        <v>824000</v>
      </c>
      <c r="K19" s="29"/>
      <c r="L19" s="30"/>
      <c r="M19" s="27" t="s">
        <v>102</v>
      </c>
      <c r="N19" s="31">
        <v>0</v>
      </c>
      <c r="O19" s="2" t="s">
        <v>108</v>
      </c>
    </row>
    <row r="20" spans="1:15" s="61" customFormat="1" ht="15.75" x14ac:dyDescent="0.25">
      <c r="A20" s="60" t="s">
        <v>50</v>
      </c>
      <c r="B20" s="61" t="s">
        <v>30</v>
      </c>
      <c r="C20" s="60" t="s">
        <v>10</v>
      </c>
      <c r="D20" s="53" t="s">
        <v>79</v>
      </c>
      <c r="E20" s="54">
        <v>18000</v>
      </c>
      <c r="F20" s="85" t="s">
        <v>122</v>
      </c>
      <c r="G20" s="54">
        <v>18000</v>
      </c>
      <c r="H20" s="54"/>
      <c r="I20" s="62">
        <v>4764</v>
      </c>
      <c r="J20" s="62">
        <f>SUM(Table1[[#This Row],[RAC Title II Funding Requested]:[Leveraged Dollars]])</f>
        <v>40764</v>
      </c>
      <c r="K20" s="56"/>
      <c r="L20" s="57"/>
      <c r="M20" s="58" t="s">
        <v>99</v>
      </c>
      <c r="N20" s="59">
        <v>0</v>
      </c>
      <c r="O20" s="61" t="s">
        <v>103</v>
      </c>
    </row>
    <row r="21" spans="1:15" s="61" customFormat="1" ht="15.75" x14ac:dyDescent="0.25">
      <c r="A21" s="60" t="s">
        <v>100</v>
      </c>
      <c r="B21" s="61" t="s">
        <v>31</v>
      </c>
      <c r="C21" s="60" t="s">
        <v>10</v>
      </c>
      <c r="D21" s="53" t="s">
        <v>84</v>
      </c>
      <c r="E21" s="54">
        <v>20000</v>
      </c>
      <c r="F21" s="85" t="s">
        <v>122</v>
      </c>
      <c r="G21" s="54">
        <v>20000</v>
      </c>
      <c r="H21" s="54"/>
      <c r="I21" s="62">
        <v>5576</v>
      </c>
      <c r="J21" s="62">
        <f>SUM(Table1[[#This Row],[RAC Title II Funding Requested]:[Leveraged Dollars]])</f>
        <v>45576</v>
      </c>
      <c r="K21" s="56"/>
      <c r="L21" s="57"/>
      <c r="M21" s="58" t="s">
        <v>99</v>
      </c>
      <c r="N21" s="59">
        <v>0</v>
      </c>
      <c r="O21" s="61" t="s">
        <v>103</v>
      </c>
    </row>
    <row r="22" spans="1:15" s="61" customFormat="1" ht="15.75" x14ac:dyDescent="0.25">
      <c r="A22" s="60" t="s">
        <v>51</v>
      </c>
      <c r="B22" s="61" t="s">
        <v>32</v>
      </c>
      <c r="C22" s="60" t="s">
        <v>10</v>
      </c>
      <c r="D22" s="53" t="s">
        <v>79</v>
      </c>
      <c r="E22" s="54">
        <v>196000</v>
      </c>
      <c r="F22" s="85" t="s">
        <v>123</v>
      </c>
      <c r="G22" s="54"/>
      <c r="H22" s="54"/>
      <c r="I22" s="62">
        <v>12700</v>
      </c>
      <c r="J22" s="62">
        <f>SUM(Table1[[#This Row],[RAC Title II Funding Requested]:[Leveraged Dollars]])</f>
        <v>208700</v>
      </c>
      <c r="K22" s="56"/>
      <c r="L22" s="57"/>
      <c r="M22" s="58" t="s">
        <v>99</v>
      </c>
      <c r="N22" s="59">
        <v>0</v>
      </c>
      <c r="O22" s="61" t="s">
        <v>103</v>
      </c>
    </row>
    <row r="23" spans="1:15" s="61" customFormat="1" ht="15.75" x14ac:dyDescent="0.25">
      <c r="A23" s="60" t="s">
        <v>52</v>
      </c>
      <c r="B23" s="61" t="s">
        <v>33</v>
      </c>
      <c r="C23" s="60" t="s">
        <v>10</v>
      </c>
      <c r="D23" s="53" t="s">
        <v>79</v>
      </c>
      <c r="E23" s="54">
        <v>18000</v>
      </c>
      <c r="F23" s="85" t="s">
        <v>118</v>
      </c>
      <c r="G23" s="54"/>
      <c r="H23" s="54">
        <v>18000</v>
      </c>
      <c r="I23" s="62">
        <v>3796</v>
      </c>
      <c r="J23" s="62">
        <f>SUM(Table1[[#This Row],[RAC Title II Funding Requested]:[Leveraged Dollars]])</f>
        <v>39796</v>
      </c>
      <c r="K23" s="56"/>
      <c r="L23" s="57"/>
      <c r="M23" s="58" t="s">
        <v>99</v>
      </c>
      <c r="N23" s="59">
        <v>0</v>
      </c>
      <c r="O23" s="61" t="s">
        <v>103</v>
      </c>
    </row>
    <row r="24" spans="1:15" s="61" customFormat="1" ht="15.75" x14ac:dyDescent="0.25">
      <c r="A24" s="60" t="s">
        <v>101</v>
      </c>
      <c r="B24" s="61" t="s">
        <v>53</v>
      </c>
      <c r="C24" s="60" t="s">
        <v>10</v>
      </c>
      <c r="D24" s="53" t="s">
        <v>80</v>
      </c>
      <c r="E24" s="54">
        <v>28000</v>
      </c>
      <c r="F24" s="85" t="s">
        <v>122</v>
      </c>
      <c r="G24" s="54">
        <v>28000</v>
      </c>
      <c r="H24" s="54" t="s">
        <v>121</v>
      </c>
      <c r="I24" s="62">
        <v>19568</v>
      </c>
      <c r="J24" s="62">
        <f>SUM(Table1[[#This Row],[RAC Title II Funding Requested]:[Leveraged Dollars]])</f>
        <v>75568</v>
      </c>
      <c r="K24" s="56" t="s">
        <v>96</v>
      </c>
      <c r="L24" s="57">
        <v>18450</v>
      </c>
      <c r="M24" s="58" t="s">
        <v>99</v>
      </c>
      <c r="N24" s="59">
        <v>0</v>
      </c>
      <c r="O24" s="61" t="s">
        <v>103</v>
      </c>
    </row>
    <row r="25" spans="1:15" s="2" customFormat="1" ht="15.75" x14ac:dyDescent="0.25">
      <c r="A25" s="11" t="s">
        <v>54</v>
      </c>
      <c r="B25" s="8" t="s">
        <v>55</v>
      </c>
      <c r="C25" s="11" t="s">
        <v>10</v>
      </c>
      <c r="D25" s="20" t="s">
        <v>80</v>
      </c>
      <c r="E25" s="36">
        <v>23700</v>
      </c>
      <c r="F25" s="83"/>
      <c r="G25" s="36"/>
      <c r="H25" s="36"/>
      <c r="I25" s="9">
        <v>4919</v>
      </c>
      <c r="J25" s="9">
        <f>SUM(Table1[[#This Row],[RAC Title II Funding Requested]:[Leveraged Dollars]])</f>
        <v>28619</v>
      </c>
      <c r="K25" s="29"/>
      <c r="L25" s="30"/>
      <c r="M25" s="27" t="s">
        <v>102</v>
      </c>
      <c r="N25" s="31">
        <v>0</v>
      </c>
      <c r="O25" s="2" t="s">
        <v>111</v>
      </c>
    </row>
    <row r="26" spans="1:15" s="2" customFormat="1" ht="15.75" x14ac:dyDescent="0.25">
      <c r="A26" s="11" t="s">
        <v>56</v>
      </c>
      <c r="B26" s="8" t="s">
        <v>57</v>
      </c>
      <c r="C26" s="11" t="s">
        <v>58</v>
      </c>
      <c r="D26" s="20" t="s">
        <v>80</v>
      </c>
      <c r="E26" s="36">
        <v>13200</v>
      </c>
      <c r="F26" s="83"/>
      <c r="G26" s="36"/>
      <c r="H26" s="36"/>
      <c r="I26" s="9">
        <v>47638</v>
      </c>
      <c r="J26" s="9">
        <f>SUM(Table1[[#This Row],[RAC Title II Funding Requested]:[Leveraged Dollars]])</f>
        <v>60838</v>
      </c>
      <c r="K26" s="29"/>
      <c r="L26" s="30"/>
      <c r="M26" s="27" t="s">
        <v>99</v>
      </c>
      <c r="N26" s="33">
        <v>6600</v>
      </c>
      <c r="O26" s="2" t="s">
        <v>107</v>
      </c>
    </row>
    <row r="27" spans="1:15" s="2" customFormat="1" ht="15.75" x14ac:dyDescent="0.25">
      <c r="A27" s="12" t="s">
        <v>59</v>
      </c>
      <c r="B27" s="8" t="s">
        <v>60</v>
      </c>
      <c r="C27" s="11" t="s">
        <v>10</v>
      </c>
      <c r="D27" s="20" t="s">
        <v>82</v>
      </c>
      <c r="E27" s="36">
        <v>95000</v>
      </c>
      <c r="F27" s="83"/>
      <c r="G27" s="36"/>
      <c r="H27" s="36"/>
      <c r="I27" s="9">
        <v>21500</v>
      </c>
      <c r="J27" s="9">
        <f>SUM(Table1[[#This Row],[RAC Title II Funding Requested]:[Leveraged Dollars]])</f>
        <v>116500</v>
      </c>
      <c r="K27" s="29"/>
      <c r="L27" s="30"/>
      <c r="M27" s="27" t="s">
        <v>102</v>
      </c>
      <c r="N27" s="32">
        <v>0</v>
      </c>
      <c r="O27" s="2" t="s">
        <v>114</v>
      </c>
    </row>
    <row r="28" spans="1:15" s="78" customFormat="1" ht="15.75" x14ac:dyDescent="0.25">
      <c r="A28" s="77" t="s">
        <v>61</v>
      </c>
      <c r="B28" s="78" t="s">
        <v>62</v>
      </c>
      <c r="C28" s="77" t="s">
        <v>10</v>
      </c>
      <c r="D28" s="70" t="s">
        <v>82</v>
      </c>
      <c r="E28" s="71">
        <v>20000</v>
      </c>
      <c r="F28" s="84"/>
      <c r="G28" s="71"/>
      <c r="H28" s="71"/>
      <c r="I28" s="79">
        <v>20000</v>
      </c>
      <c r="J28" s="79">
        <f>SUM(Table1[[#This Row],[RAC Title II Funding Requested]:[Leveraged Dollars]])</f>
        <v>40000</v>
      </c>
      <c r="K28" s="73" t="s">
        <v>94</v>
      </c>
      <c r="L28" s="74">
        <v>37500</v>
      </c>
      <c r="M28" s="75" t="s">
        <v>99</v>
      </c>
      <c r="N28" s="76">
        <v>0</v>
      </c>
      <c r="O28" s="78" t="s">
        <v>115</v>
      </c>
    </row>
    <row r="29" spans="1:15" ht="15.75" x14ac:dyDescent="0.25">
      <c r="A29" s="10" t="s">
        <v>63</v>
      </c>
      <c r="B29" s="6" t="s">
        <v>64</v>
      </c>
      <c r="C29" s="10" t="s">
        <v>10</v>
      </c>
      <c r="D29" s="20" t="s">
        <v>81</v>
      </c>
      <c r="E29" s="36">
        <v>111000</v>
      </c>
      <c r="F29" s="83"/>
      <c r="G29" s="36"/>
      <c r="H29" s="36"/>
      <c r="I29" s="1">
        <v>24000</v>
      </c>
      <c r="J29" s="1">
        <f>SUM(Table1[[#This Row],[RAC Title II Funding Requested]:[Leveraged Dollars]])</f>
        <v>135000</v>
      </c>
      <c r="K29" s="29" t="s">
        <v>97</v>
      </c>
      <c r="L29" s="30">
        <v>10000</v>
      </c>
      <c r="M29" s="27" t="s">
        <v>99</v>
      </c>
      <c r="N29" s="31">
        <v>7000</v>
      </c>
      <c r="O29" t="s">
        <v>109</v>
      </c>
    </row>
    <row r="30" spans="1:15" ht="15.75" x14ac:dyDescent="0.25">
      <c r="A30" s="10" t="s">
        <v>65</v>
      </c>
      <c r="B30" s="6" t="s">
        <v>66</v>
      </c>
      <c r="C30" s="10" t="s">
        <v>10</v>
      </c>
      <c r="D30" s="20" t="s">
        <v>81</v>
      </c>
      <c r="E30" s="36">
        <v>15000</v>
      </c>
      <c r="F30" s="83"/>
      <c r="G30" s="36"/>
      <c r="H30" s="36"/>
      <c r="I30" s="1">
        <v>16488</v>
      </c>
      <c r="J30" s="1">
        <f>SUM(Table1[[#This Row],[RAC Title II Funding Requested]:[Leveraged Dollars]])</f>
        <v>31488</v>
      </c>
      <c r="K30" s="29" t="s">
        <v>94</v>
      </c>
      <c r="L30" s="30">
        <v>7500</v>
      </c>
      <c r="M30" s="27" t="s">
        <v>99</v>
      </c>
      <c r="N30" s="31">
        <v>5000</v>
      </c>
      <c r="O30" t="s">
        <v>110</v>
      </c>
    </row>
    <row r="31" spans="1:15" ht="15.75" x14ac:dyDescent="0.25">
      <c r="A31" s="10" t="s">
        <v>67</v>
      </c>
      <c r="B31" s="6" t="s">
        <v>68</v>
      </c>
      <c r="C31" s="10" t="s">
        <v>10</v>
      </c>
      <c r="D31" s="20" t="s">
        <v>79</v>
      </c>
      <c r="E31" s="36">
        <v>40000</v>
      </c>
      <c r="F31" s="83"/>
      <c r="G31" s="36"/>
      <c r="H31" s="36"/>
      <c r="I31" s="1">
        <v>14200.8</v>
      </c>
      <c r="J31" s="1">
        <f>SUM(Table1[[#This Row],[RAC Title II Funding Requested]:[Leveraged Dollars]])</f>
        <v>54200.800000000003</v>
      </c>
      <c r="K31" s="29" t="s">
        <v>94</v>
      </c>
      <c r="L31" s="30">
        <v>7500</v>
      </c>
      <c r="M31" s="27" t="s">
        <v>99</v>
      </c>
      <c r="N31" s="31">
        <v>20000</v>
      </c>
      <c r="O31" t="s">
        <v>112</v>
      </c>
    </row>
    <row r="32" spans="1:15" s="2" customFormat="1" ht="15.75" x14ac:dyDescent="0.25">
      <c r="A32" s="11" t="s">
        <v>70</v>
      </c>
      <c r="B32" s="8" t="s">
        <v>71</v>
      </c>
      <c r="C32" s="11" t="s">
        <v>72</v>
      </c>
      <c r="D32" s="20" t="s">
        <v>80</v>
      </c>
      <c r="E32" s="36">
        <v>9334</v>
      </c>
      <c r="F32" s="83"/>
      <c r="G32" s="36"/>
      <c r="H32" s="36">
        <f>SUM(H4:H31)</f>
        <v>265750</v>
      </c>
      <c r="I32" s="9">
        <v>3508</v>
      </c>
      <c r="J32" s="9">
        <f>SUM(Table1[[#This Row],[RAC Title II Funding Requested]:[Leveraged Dollars]])</f>
        <v>278592</v>
      </c>
      <c r="K32" s="29" t="s">
        <v>98</v>
      </c>
      <c r="L32" s="30">
        <v>7500</v>
      </c>
      <c r="M32" s="27" t="s">
        <v>99</v>
      </c>
      <c r="N32" s="31">
        <v>9334</v>
      </c>
    </row>
    <row r="33" spans="1:15" ht="18.75" x14ac:dyDescent="0.3">
      <c r="A33" s="4"/>
      <c r="B33" s="3"/>
      <c r="C33" s="3"/>
      <c r="D33" s="25" t="s">
        <v>16</v>
      </c>
      <c r="E33" s="26">
        <f>SUM(Table1[RAC Title II Funding Requested])</f>
        <v>1935783.83</v>
      </c>
      <c r="F33" s="87"/>
      <c r="G33" s="26">
        <f>SUM(G4:G32)</f>
        <v>66000</v>
      </c>
      <c r="H33" s="26">
        <f>SUM(H32)</f>
        <v>265750</v>
      </c>
      <c r="I33" s="5">
        <f>SUBTOTAL(109,Table1[Leveraged Dollars])</f>
        <v>2611356.04</v>
      </c>
      <c r="J33" s="5">
        <f>SUBTOTAL(109,Table1[Total Project Cost])</f>
        <v>5144639.87</v>
      </c>
      <c r="K33" s="24"/>
      <c r="L33" s="24"/>
      <c r="M33" s="3"/>
      <c r="N33" s="34">
        <f>SUM(Table1[Recommended Funding Amount])</f>
        <v>529683.12</v>
      </c>
      <c r="O33" s="3"/>
    </row>
    <row r="34" spans="1:15" x14ac:dyDescent="0.25">
      <c r="B34" s="15" t="s">
        <v>69</v>
      </c>
      <c r="C34" s="7"/>
    </row>
    <row r="35" spans="1:15" x14ac:dyDescent="0.25">
      <c r="B35" s="7"/>
      <c r="C35" s="7"/>
    </row>
    <row r="36" spans="1:15" ht="16.5" thickBot="1" x14ac:dyDescent="0.3">
      <c r="A36" s="37" t="s">
        <v>78</v>
      </c>
      <c r="B36" s="38" t="s">
        <v>85</v>
      </c>
      <c r="C36" s="39" t="s">
        <v>93</v>
      </c>
      <c r="D36" s="18" t="s">
        <v>74</v>
      </c>
      <c r="E36" s="16">
        <v>529683.12</v>
      </c>
      <c r="F36" s="88"/>
      <c r="G36" s="16"/>
      <c r="H36" s="16"/>
    </row>
    <row r="37" spans="1:15" ht="16.5" thickBot="1" x14ac:dyDescent="0.3">
      <c r="A37" s="40" t="s">
        <v>80</v>
      </c>
      <c r="B37" s="41">
        <v>110952</v>
      </c>
      <c r="C37" s="42">
        <f>SUM(N5:N6,N11:N12,N18,N24:N26,N32)</f>
        <v>68662</v>
      </c>
      <c r="D37" s="19" t="s">
        <v>75</v>
      </c>
      <c r="E37" s="17">
        <f>Table1[[#Totals],[Recommended Funding Amount]]</f>
        <v>529683.12</v>
      </c>
      <c r="F37" s="89"/>
      <c r="G37" s="80"/>
      <c r="H37" s="80"/>
    </row>
    <row r="38" spans="1:15" ht="19.5" thickTop="1" x14ac:dyDescent="0.3">
      <c r="A38" s="40" t="s">
        <v>86</v>
      </c>
      <c r="B38" s="41">
        <v>140797.27000000002</v>
      </c>
      <c r="C38" s="42" t="s">
        <v>90</v>
      </c>
      <c r="D38" s="28" t="s">
        <v>76</v>
      </c>
      <c r="E38" s="35">
        <f>SUM(E36-E37)</f>
        <v>0</v>
      </c>
      <c r="F38" s="90"/>
      <c r="G38" s="35"/>
      <c r="H38" s="35"/>
    </row>
    <row r="39" spans="1:15" x14ac:dyDescent="0.25">
      <c r="A39" s="40" t="s">
        <v>87</v>
      </c>
      <c r="B39" s="43">
        <v>58562.090000000004</v>
      </c>
      <c r="C39" s="44">
        <f>SUM(N16,N21)</f>
        <v>0</v>
      </c>
      <c r="D39" s="10"/>
    </row>
    <row r="40" spans="1:15" ht="15.75" x14ac:dyDescent="0.25">
      <c r="A40" s="45" t="s">
        <v>79</v>
      </c>
      <c r="B40" s="46">
        <v>219371.76</v>
      </c>
      <c r="C40" s="47">
        <f>SUM(N4,N14:N15,N20,N22:N23,N31)</f>
        <v>36493.83</v>
      </c>
      <c r="D40" s="21" t="s">
        <v>77</v>
      </c>
      <c r="E40" s="22">
        <f>SUM(N10:N11,N20:N24,N27)</f>
        <v>265000</v>
      </c>
      <c r="F40" s="91"/>
      <c r="G40" s="22"/>
      <c r="H40" s="22"/>
    </row>
    <row r="41" spans="1:15" ht="15.75" x14ac:dyDescent="0.25">
      <c r="A41" s="40" t="s">
        <v>88</v>
      </c>
      <c r="B41" s="48">
        <f>SUM(B37:B38)</f>
        <v>251749.27000000002</v>
      </c>
      <c r="C41" s="42">
        <f>SUM(N13,N17,N27:N28)</f>
        <v>21000</v>
      </c>
      <c r="D41" s="21" t="s">
        <v>83</v>
      </c>
      <c r="E41" s="23">
        <f>E40/E36</f>
        <v>0.50029912223746154</v>
      </c>
      <c r="F41" s="92"/>
      <c r="G41" s="23"/>
      <c r="H41" s="23"/>
    </row>
    <row r="42" spans="1:15" x14ac:dyDescent="0.25">
      <c r="A42" s="45" t="s">
        <v>81</v>
      </c>
      <c r="B42" s="49">
        <f>SUM(B37:B40)</f>
        <v>529683.12000000011</v>
      </c>
      <c r="C42" s="50">
        <f>SUM(N7:N10,N19,N29:N30)</f>
        <v>403527.29000000004</v>
      </c>
    </row>
  </sheetData>
  <mergeCells count="1">
    <mergeCell ref="A1:B1"/>
  </mergeCells>
  <phoneticPr fontId="6" type="noConversion"/>
  <conditionalFormatting sqref="M4:M32">
    <cfRule type="containsText" dxfId="32" priority="1" operator="containsText" text="No">
      <formula>NOT(ISERROR(SEARCH("No",M4)))</formula>
    </cfRule>
    <cfRule type="containsText" dxfId="31" priority="2" operator="containsText" text="Yes">
      <formula>NOT(ISERROR(SEARCH("Yes",M4)))</formula>
    </cfRule>
  </conditionalFormatting>
  <dataValidations count="1">
    <dataValidation type="list" allowBlank="1" showInputMessage="1" showErrorMessage="1" sqref="M4:M32" xr:uid="{A2E2C53B-951E-4CD3-A942-AAA66CEE95C3}">
      <formula1>"Yes,No"</formula1>
    </dataValidation>
  </dataValidations>
  <pageMargins left="0.25" right="0.25" top="0.75" bottom="0.75" header="0.3" footer="0.3"/>
  <pageSetup paperSize="211" scale="89" fitToHeight="0" orientation="landscape" r:id="rId1"/>
  <ignoredErrors>
    <ignoredError sqref="B41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U. S.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Blundell, Phillip - FS</dc:creator>
  <cp:lastModifiedBy>Blundell, Phillip - FS</cp:lastModifiedBy>
  <cp:lastPrinted>2021-01-05T20:07:33Z</cp:lastPrinted>
  <dcterms:created xsi:type="dcterms:W3CDTF">2019-05-28T22:17:30Z</dcterms:created>
  <dcterms:modified xsi:type="dcterms:W3CDTF">2021-01-05T23:56:58Z</dcterms:modified>
</cp:coreProperties>
</file>